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I:\東京学士\"/>
    </mc:Choice>
  </mc:AlternateContent>
  <xr:revisionPtr revIDLastSave="0" documentId="13_ncr:1_{456813B2-A66A-4581-8356-604B410F488E}" xr6:coauthVersionLast="47" xr6:coauthVersionMax="47" xr10:uidLastSave="{00000000-0000-0000-0000-000000000000}"/>
  <bookViews>
    <workbookView xWindow="-120" yWindow="-120" windowWidth="25440" windowHeight="15390" xr2:uid="{08D0B048-CBCB-4B17-80E9-8DC36B1BF564}"/>
  </bookViews>
  <sheets>
    <sheet name="Resume" sheetId="1" r:id="rId1"/>
    <sheet name="Expenses" sheetId="2" r:id="rId2"/>
    <sheet name="Application" sheetId="3" r:id="rId3"/>
    <sheet name="memo" sheetId="4" state="hidden" r:id="rId4"/>
    <sheet name="free" sheetId="9" state="hidden" r:id="rId5"/>
    <sheet name="ls" sheetId="5" state="hidden" r:id="rId6"/>
    <sheet name="baseinfo" sheetId="6" state="hidden" r:id="rId7"/>
    <sheet name="fixinfo" sheetId="7" state="hidden" r:id="rId8"/>
    <sheet name="sysinfo" sheetId="8" state="hidden" r:id="rId9"/>
  </sheets>
  <definedNames>
    <definedName name="_xlnm._FilterDatabase" localSheetId="1" hidden="1">Expenses!#REF!</definedName>
    <definedName name="_xlnm._FilterDatabase" localSheetId="0" hidden="1">Resume!$A$2:$A$2</definedName>
    <definedName name="Input_Area" localSheetId="2">Application!$AN$1,Application!$N$8,Application!$T$8,Application!$V$11,Application!$E$17:$AI$18,Application!$AD$23,Application!$E$23:$I$26,Application!$N$25,Application!$R$25,Application!$U$25,Application!$AA$25,Application!$AE$25,Application!$AH$25,Application!$P$29,Application!$T$29,Application!$W$29,Application!$AE$29,Application!$AN$29,Application!$Y$34:$AD$34,Application!$A$36,Application!$H$36:$S$36,Application!$Y$36:$AD$36,Application!$F$49:$L$50,Application!$R$49:$AQ$50,Application!$F$51:$AA$52,Application!$AG$51:$AQ$52,Application!$A$58:$Q$60,Application!$V$58:$AQ$60,Application!$U$62,Application!$Z$62,Application!$AC$62</definedName>
    <definedName name="Input_Area" localSheetId="1">Expenses!$C$22:$AQ$27,Expenses!$E$34:$J$35,Expenses!$L$34:$T$35,Expenses!$AA$44:$AI$44,Expenses!$E$47:$AQ$50,Expenses!$AE$54:$AG$54,Expenses!$AJ$54:$AK$54,Expenses!$AN$54:$AO$54,Expenses!$J$58:$AB$59,Expenses!$AI$58:$AQ$59,Expenses!$O$60:$AG$61</definedName>
    <definedName name="Input_Area" localSheetId="0">Resume!$AA$7,Resume!$AH$7,Resume!$G$11,Resume!$L$11,Resume!$P$11,Resume!$G$14,Resume!$AH$14,Resume!$AM$14,Resume!$L$15,Resume!$Y$17,Resume!$E$25,Resume!$P$26,Resume!$U$25,Resume!$AM$25,Resume!$Z$26,Resume!$E$27,Resume!$P$28,Resume!$U$27,Resume!$AM$27,Resume!$Z$28,Resume!$E$29,Resume!$Q$30,Resume!#REF!,Resume!$AM$29,Resume!#REF!,Resume!$E$31,Resume!$Q$32,Resume!#REF!,Resume!$AM$31,Resume!#REF!,Resume!$E$33,Resume!$Q$34,Resume!#REF!,Resume!$AM$33,Resume!#REF!,Resume!$E$41:$N$46,Resume!$P$41:$AE$46,Resume!$AG$41:$AH$46,Resume!$AJ$41:$AK$46,Resume!$AM$41:$AN$46,Resume!$AP$41:$AQ$46,Resume!$E$53:$N$56,Resume!$P$53:$AE$56,Resume!$AG$53:$AH$56,Resume!$AJ$53:$AK$56,Resume!$AM$53:$AN$56,Resume!$AP$53:$AR$56,Resume!$E$63:$N$65,Resume!$P$63:$AE$65,Resume!$AG$63:$AH$65,Resume!$AJ$63:$AK$65,Resume!$AM$63:$AN$65,Resume!$AP$63:$AQ$65,Resume!$E$72:$F$74,Resume!$H$72:$I$74,Resume!$K$72:$L$74,Resume!$N$72:$O$74,Resume!$Q$72:$R$74,Resume!$T$72:$U$74,Resume!$W$72:$AD$74,Resume!$AF$72:$AQ$74,Resume!$C$78:$AQ$89,Resume!$O$98,Resume!$O$101,Resume!#REF!,Resume!#REF!,Resume!$AJ$107</definedName>
    <definedName name="_xlnm.Print_Area" localSheetId="2">Application!$A$1:$AQ$63</definedName>
    <definedName name="_xlnm.Print_Area" localSheetId="1">Expenses!$A$1:$AQ$63</definedName>
    <definedName name="_xlnm.Print_Area" localSheetId="3">memo!$1:$1</definedName>
    <definedName name="_xlnm.Print_Area" localSheetId="0">Resume!$A$1:$AQ$111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2" i="3" l="1"/>
  <c r="Z62" i="3"/>
  <c r="U62" i="3"/>
  <c r="AI63" i="2"/>
  <c r="O61" i="2"/>
  <c r="O60" i="2"/>
  <c r="AV44" i="2"/>
  <c r="AV43" i="2"/>
  <c r="AV38" i="2"/>
  <c r="G5" i="4"/>
  <c r="A5" i="4"/>
  <c r="AB62" i="3"/>
  <c r="AI56" i="3"/>
  <c r="H54" i="3"/>
  <c r="AG48" i="3"/>
  <c r="AG47" i="3"/>
  <c r="M40" i="3"/>
  <c r="M39" i="3"/>
  <c r="G39" i="3"/>
  <c r="B39" i="3"/>
  <c r="BH38" i="3"/>
  <c r="BB38" i="3"/>
  <c r="T36" i="3"/>
  <c r="AI35" i="3"/>
  <c r="Y35" i="3"/>
  <c r="T34" i="3"/>
  <c r="A33" i="3"/>
  <c r="AA30" i="3"/>
  <c r="BF29" i="3"/>
  <c r="F29" i="3"/>
  <c r="B29" i="3"/>
  <c r="BH28" i="3"/>
  <c r="BB28" i="3"/>
  <c r="AS26" i="3"/>
  <c r="T26" i="3"/>
  <c r="AO25" i="3"/>
  <c r="AJ24" i="3"/>
  <c r="J24" i="3"/>
  <c r="N23" i="3"/>
  <c r="A23" i="3"/>
  <c r="N21" i="3"/>
  <c r="E21" i="3"/>
  <c r="F5" i="4"/>
  <c r="X20" i="3"/>
  <c r="U19" i="3"/>
  <c r="R19" i="3"/>
  <c r="AA19" i="3"/>
  <c r="N19" i="3"/>
  <c r="J19" i="3"/>
  <c r="E19" i="3"/>
  <c r="E5" i="4"/>
  <c r="A17" i="3"/>
  <c r="Q15" i="3"/>
  <c r="B5" i="4"/>
  <c r="E15" i="3"/>
  <c r="AH9" i="3"/>
  <c r="AF8" i="3"/>
  <c r="AE8" i="3"/>
  <c r="AC8" i="3"/>
  <c r="BA6" i="3"/>
  <c r="AS9" i="3"/>
  <c r="BB3" i="3"/>
  <c r="BA3" i="3"/>
  <c r="AF63" i="3"/>
  <c r="BB2" i="3"/>
  <c r="BA2" i="3"/>
  <c r="Y62" i="3"/>
  <c r="G1" i="3"/>
  <c r="AN54" i="2"/>
  <c r="AJ54" i="2"/>
  <c r="AE54" i="2"/>
  <c r="AT40" i="2"/>
  <c r="AT35" i="2"/>
  <c r="L34" i="2"/>
  <c r="AT34" i="2"/>
  <c r="E34" i="2"/>
  <c r="AT32" i="2"/>
  <c r="I11" i="2"/>
  <c r="D10" i="2"/>
  <c r="AL9" i="2"/>
  <c r="AG9" i="2"/>
  <c r="AB9" i="2"/>
  <c r="I9" i="2"/>
  <c r="BA6" i="2"/>
  <c r="BA3" i="2"/>
  <c r="B57" i="2"/>
  <c r="A3" i="2"/>
  <c r="BA2" i="2"/>
  <c r="R111" i="1"/>
  <c r="R110" i="1"/>
  <c r="AJ108" i="1"/>
  <c r="AD108" i="1"/>
  <c r="X108" i="1"/>
  <c r="R108" i="1"/>
  <c r="AU107" i="1"/>
  <c r="R107" i="1"/>
  <c r="X105" i="1"/>
  <c r="L105" i="1"/>
  <c r="E105" i="1"/>
  <c r="AC104" i="1"/>
  <c r="M104" i="1"/>
  <c r="D104" i="1"/>
  <c r="G101" i="1"/>
  <c r="AW100" i="1"/>
  <c r="G100" i="1"/>
  <c r="D100" i="1"/>
  <c r="BH99" i="1"/>
  <c r="BF99" i="1"/>
  <c r="BE99" i="1"/>
  <c r="BG99" i="1" s="1"/>
  <c r="BF98" i="1"/>
  <c r="BE98" i="1"/>
  <c r="BH98" i="1" s="1"/>
  <c r="I98" i="1"/>
  <c r="BF97" i="1"/>
  <c r="BE97" i="1"/>
  <c r="BH97" i="1" s="1"/>
  <c r="I97" i="1"/>
  <c r="BF96" i="1"/>
  <c r="BE96" i="1"/>
  <c r="BH96" i="1" s="1"/>
  <c r="BF95" i="1"/>
  <c r="BE95" i="1"/>
  <c r="BH95" i="1" s="1"/>
  <c r="I95" i="1"/>
  <c r="BH94" i="1"/>
  <c r="BB94" i="1"/>
  <c r="O94" i="1" s="1"/>
  <c r="D94" i="1" s="1"/>
  <c r="BG94" i="1"/>
  <c r="I94" i="1"/>
  <c r="C92" i="1"/>
  <c r="C91" i="1"/>
  <c r="C77" i="1"/>
  <c r="C76" i="1"/>
  <c r="AF71" i="1"/>
  <c r="W71" i="1"/>
  <c r="N71" i="1"/>
  <c r="E71" i="1"/>
  <c r="AF70" i="1"/>
  <c r="W70" i="1"/>
  <c r="N70" i="1"/>
  <c r="E70" i="1"/>
  <c r="C69" i="1"/>
  <c r="C68" i="1"/>
  <c r="AM62" i="1"/>
  <c r="AG62" i="1"/>
  <c r="P62" i="1"/>
  <c r="E62" i="1"/>
  <c r="AM61" i="1"/>
  <c r="AG61" i="1"/>
  <c r="P61" i="1"/>
  <c r="E61" i="1"/>
  <c r="C60" i="1"/>
  <c r="C59" i="1"/>
  <c r="AR58" i="1"/>
  <c r="AO35" i="3"/>
  <c r="AS57" i="1"/>
  <c r="AS56" i="1"/>
  <c r="AS55" i="1"/>
  <c r="AS54" i="1"/>
  <c r="AS53" i="1"/>
  <c r="AR52" i="1"/>
  <c r="AM52" i="1"/>
  <c r="AG52" i="1"/>
  <c r="P52" i="1"/>
  <c r="E52" i="1"/>
  <c r="AR51" i="1"/>
  <c r="AM51" i="1"/>
  <c r="AG51" i="1"/>
  <c r="P51" i="1"/>
  <c r="E51" i="1"/>
  <c r="AG50" i="1"/>
  <c r="AG49" i="1"/>
  <c r="C49" i="1"/>
  <c r="C48" i="1"/>
  <c r="BH47" i="1"/>
  <c r="BF47" i="1"/>
  <c r="BG47" i="1" s="1"/>
  <c r="BE47" i="1"/>
  <c r="BH46" i="1"/>
  <c r="BF46" i="1"/>
  <c r="BE46" i="1"/>
  <c r="AS46" i="1"/>
  <c r="AR46" i="1"/>
  <c r="BE54" i="1"/>
  <c r="BH45" i="1"/>
  <c r="BF45" i="1"/>
  <c r="BE45" i="1"/>
  <c r="BG45" i="1" s="1"/>
  <c r="AS45" i="1"/>
  <c r="AR45" i="1"/>
  <c r="BE53" i="1"/>
  <c r="BH44" i="1"/>
  <c r="BF44" i="1"/>
  <c r="BE44" i="1"/>
  <c r="BG44" i="1" s="1"/>
  <c r="AS44" i="1"/>
  <c r="AR44" i="1"/>
  <c r="BE52" i="1"/>
  <c r="BH43" i="1"/>
  <c r="BF43" i="1"/>
  <c r="BE43" i="1"/>
  <c r="AS43" i="1"/>
  <c r="AR43" i="1"/>
  <c r="BE51" i="1"/>
  <c r="BH42" i="1"/>
  <c r="BF42" i="1"/>
  <c r="BE42" i="1"/>
  <c r="AS42" i="1"/>
  <c r="AR42" i="1"/>
  <c r="BE50" i="1"/>
  <c r="BH41" i="1"/>
  <c r="BF41" i="1"/>
  <c r="BE41" i="1"/>
  <c r="AS41" i="1"/>
  <c r="AR41" i="1"/>
  <c r="BE49" i="1"/>
  <c r="BG40" i="1"/>
  <c r="BB40" i="1"/>
  <c r="I5" i="4" s="1"/>
  <c r="AR40" i="1"/>
  <c r="AM40" i="1"/>
  <c r="AG40" i="1"/>
  <c r="P40" i="1"/>
  <c r="E40" i="1"/>
  <c r="BM39" i="1"/>
  <c r="BL39" i="1"/>
  <c r="BO39" i="1" s="1"/>
  <c r="AU39" i="1"/>
  <c r="AR39" i="1"/>
  <c r="AM39" i="1"/>
  <c r="AG39" i="1"/>
  <c r="P39" i="1"/>
  <c r="E39" i="1"/>
  <c r="BM38" i="1"/>
  <c r="BL38" i="1"/>
  <c r="BO38" i="1" s="1"/>
  <c r="AG38" i="1"/>
  <c r="BM37" i="1"/>
  <c r="BL37" i="1"/>
  <c r="BO37" i="1" s="1"/>
  <c r="AG37" i="1"/>
  <c r="C37" i="1"/>
  <c r="BM36" i="1"/>
  <c r="BL36" i="1"/>
  <c r="BO36" i="1" s="1"/>
  <c r="C36" i="1"/>
  <c r="BM35" i="1"/>
  <c r="BL35" i="1"/>
  <c r="BO35" i="1" s="1"/>
  <c r="AR35" i="1"/>
  <c r="BM34" i="1"/>
  <c r="BL34" i="1"/>
  <c r="BO34" i="1" s="1"/>
  <c r="Z34" i="1"/>
  <c r="U34" i="1"/>
  <c r="I34" i="1"/>
  <c r="E34" i="1"/>
  <c r="BM33" i="1"/>
  <c r="BL33" i="1"/>
  <c r="BO33" i="1" s="1"/>
  <c r="U33" i="1"/>
  <c r="BM32" i="1"/>
  <c r="BL32" i="1"/>
  <c r="BN32" i="1" s="1"/>
  <c r="Z32" i="1"/>
  <c r="U32" i="1"/>
  <c r="I32" i="1"/>
  <c r="E32" i="1"/>
  <c r="BM31" i="1"/>
  <c r="BL31" i="1"/>
  <c r="BO31" i="1" s="1"/>
  <c r="U31" i="1"/>
  <c r="BM30" i="1"/>
  <c r="BL30" i="1"/>
  <c r="BO30" i="1" s="1"/>
  <c r="Z30" i="1"/>
  <c r="U30" i="1"/>
  <c r="I30" i="1"/>
  <c r="E30" i="1"/>
  <c r="BM29" i="1"/>
  <c r="BL29" i="1"/>
  <c r="BO29" i="1" s="1"/>
  <c r="AR29" i="1"/>
  <c r="U29" i="1"/>
  <c r="BM28" i="1"/>
  <c r="BL28" i="1"/>
  <c r="BO28" i="1" s="1"/>
  <c r="AR28" i="1"/>
  <c r="Z28" i="1"/>
  <c r="U28" i="1"/>
  <c r="I28" i="1"/>
  <c r="E28" i="1"/>
  <c r="BM27" i="1"/>
  <c r="BL27" i="1"/>
  <c r="BO27" i="1" s="1"/>
  <c r="BF27" i="1"/>
  <c r="BE27" i="1"/>
  <c r="BH27" i="1" s="1"/>
  <c r="U27" i="1"/>
  <c r="BM26" i="1"/>
  <c r="BL26" i="1"/>
  <c r="BO26" i="1" s="1"/>
  <c r="BF26" i="1"/>
  <c r="BE26" i="1"/>
  <c r="BH26" i="1" s="1"/>
  <c r="Z26" i="1"/>
  <c r="U26" i="1"/>
  <c r="I26" i="1"/>
  <c r="BM25" i="1"/>
  <c r="BL25" i="1"/>
  <c r="BO25" i="1" s="1"/>
  <c r="BH25" i="1"/>
  <c r="U25" i="1"/>
  <c r="BM24" i="1"/>
  <c r="BL24" i="1"/>
  <c r="BO24" i="1" s="1"/>
  <c r="P24" i="1"/>
  <c r="M24" i="1"/>
  <c r="I24" i="1"/>
  <c r="E24" i="1"/>
  <c r="BM23" i="1"/>
  <c r="BL23" i="1"/>
  <c r="BO23" i="1" s="1"/>
  <c r="BD23" i="1"/>
  <c r="AR23" i="1"/>
  <c r="Z23" i="1"/>
  <c r="P23" i="1"/>
  <c r="M23" i="1"/>
  <c r="I23" i="1"/>
  <c r="E23" i="1"/>
  <c r="BM22" i="1"/>
  <c r="BL22" i="1"/>
  <c r="BO22" i="1" s="1"/>
  <c r="BD22" i="1"/>
  <c r="AM22" i="1"/>
  <c r="M22" i="1"/>
  <c r="E22" i="1"/>
  <c r="BM21" i="1"/>
  <c r="BL21" i="1"/>
  <c r="BO21" i="1" s="1"/>
  <c r="BD21" i="1"/>
  <c r="AR21" i="1"/>
  <c r="AM21" i="1"/>
  <c r="U21" i="1"/>
  <c r="M21" i="1"/>
  <c r="E21" i="1"/>
  <c r="C21" i="1"/>
  <c r="BM20" i="1"/>
  <c r="BL20" i="1"/>
  <c r="BO20" i="1" s="1"/>
  <c r="AW20" i="1"/>
  <c r="AU20" i="1"/>
  <c r="C20" i="1"/>
  <c r="BO19" i="1"/>
  <c r="BB21" i="1"/>
  <c r="P26" i="1" s="1"/>
  <c r="AV37" i="2" s="1"/>
  <c r="AI62" i="2" s="1"/>
  <c r="BN19" i="1"/>
  <c r="BF18" i="1"/>
  <c r="BE18" i="1"/>
  <c r="S18" i="1"/>
  <c r="C18" i="1"/>
  <c r="BF17" i="1"/>
  <c r="BE17" i="1"/>
  <c r="BH17" i="1" s="1"/>
  <c r="S17" i="1"/>
  <c r="C17" i="1"/>
  <c r="BH16" i="1"/>
  <c r="BG16" i="1"/>
  <c r="BB16" i="1"/>
  <c r="I17" i="1" s="1"/>
  <c r="AN23" i="3" s="1"/>
  <c r="M16" i="1"/>
  <c r="AM15" i="1"/>
  <c r="AH15" i="1"/>
  <c r="AD15" i="1"/>
  <c r="G15" i="1"/>
  <c r="C15" i="1"/>
  <c r="AD14" i="1"/>
  <c r="C14" i="1"/>
  <c r="BM13" i="1"/>
  <c r="BN13" i="1" s="1"/>
  <c r="BL13" i="1"/>
  <c r="BO13" i="1" s="1"/>
  <c r="BM12" i="1"/>
  <c r="BN12" i="1" s="1"/>
  <c r="BL12" i="1"/>
  <c r="BO12" i="1"/>
  <c r="BF12" i="1"/>
  <c r="BE12" i="1"/>
  <c r="BH12" i="1" s="1"/>
  <c r="X12" i="1"/>
  <c r="P12" i="1"/>
  <c r="L12" i="1"/>
  <c r="G12" i="1"/>
  <c r="C12" i="1"/>
  <c r="BM11" i="1"/>
  <c r="BL11" i="1"/>
  <c r="BO11" i="1"/>
  <c r="BF11" i="1"/>
  <c r="BE11" i="1"/>
  <c r="BH11" i="1" s="1"/>
  <c r="X11" i="1"/>
  <c r="R11" i="1"/>
  <c r="N11" i="1"/>
  <c r="J11" i="1"/>
  <c r="C11" i="1"/>
  <c r="BM10" i="1"/>
  <c r="BL10" i="1"/>
  <c r="BO10" i="1" s="1"/>
  <c r="BH10" i="1"/>
  <c r="BB10" i="1"/>
  <c r="AA11" i="1"/>
  <c r="AG19" i="3" s="1"/>
  <c r="BG10" i="1"/>
  <c r="BM9" i="1"/>
  <c r="BL9" i="1"/>
  <c r="BO9" i="1" s="1"/>
  <c r="AH9" i="1"/>
  <c r="AA9" i="1"/>
  <c r="X9" i="1"/>
  <c r="C9" i="1"/>
  <c r="BM8" i="1"/>
  <c r="BN8" i="1" s="1"/>
  <c r="BL8" i="1"/>
  <c r="BO8" i="1"/>
  <c r="BB7" i="1" s="1"/>
  <c r="X8" i="1"/>
  <c r="C8" i="1"/>
  <c r="BO7" i="1"/>
  <c r="BN7" i="1"/>
  <c r="AU5" i="1"/>
  <c r="A5" i="1"/>
  <c r="BB3" i="1"/>
  <c r="BB3" i="2"/>
  <c r="A3" i="1"/>
  <c r="BB2" i="1"/>
  <c r="BB2" i="2"/>
  <c r="X1" i="1"/>
  <c r="M6" i="3" s="1"/>
  <c r="A1" i="1"/>
  <c r="M5" i="3" s="1"/>
  <c r="BG97" i="1"/>
  <c r="AT54" i="2"/>
  <c r="BH18" i="1"/>
  <c r="AT46" i="2"/>
  <c r="AJ44" i="2"/>
  <c r="C30" i="2"/>
  <c r="AT21" i="2"/>
  <c r="AO9" i="2"/>
  <c r="A5" i="2"/>
  <c r="X11" i="2"/>
  <c r="C22" i="2"/>
  <c r="E45" i="2"/>
  <c r="D5" i="4"/>
  <c r="D9" i="2"/>
  <c r="X9" i="2"/>
  <c r="AE9" i="2"/>
  <c r="A14" i="2"/>
  <c r="AT41" i="2"/>
  <c r="F50" i="3"/>
  <c r="AT37" i="2"/>
  <c r="E35" i="2"/>
  <c r="F45" i="3"/>
  <c r="V34" i="2"/>
  <c r="AT43" i="2"/>
  <c r="J58" i="2"/>
  <c r="E47" i="2"/>
  <c r="D58" i="2"/>
  <c r="AS47" i="1"/>
  <c r="AS48" i="1" s="1"/>
  <c r="L5" i="4" s="1"/>
  <c r="D38" i="2"/>
  <c r="H61" i="2"/>
  <c r="A16" i="3"/>
  <c r="AD20" i="3"/>
  <c r="Z24" i="3"/>
  <c r="X25" i="3"/>
  <c r="Q26" i="3"/>
  <c r="W26" i="3"/>
  <c r="G29" i="3"/>
  <c r="Y30" i="3"/>
  <c r="AJ30" i="3"/>
  <c r="Y33" i="3"/>
  <c r="AF34" i="3"/>
  <c r="AB35" i="3"/>
  <c r="AK36" i="3"/>
  <c r="H40" i="3"/>
  <c r="P43" i="3"/>
  <c r="A50" i="3"/>
  <c r="AB52" i="3"/>
  <c r="V55" i="3"/>
  <c r="AM56" i="3"/>
  <c r="C5" i="4"/>
  <c r="B28" i="3"/>
  <c r="H33" i="3"/>
  <c r="B54" i="3"/>
  <c r="AH8" i="3"/>
  <c r="Q19" i="3"/>
  <c r="B38" i="3"/>
  <c r="BE40" i="3"/>
  <c r="BH40" i="3" s="1"/>
  <c r="AF43" i="3"/>
  <c r="AI55" i="3"/>
  <c r="J8" i="3"/>
  <c r="J9" i="3"/>
  <c r="A20" i="3"/>
  <c r="A25" i="3"/>
  <c r="BG28" i="3"/>
  <c r="V29" i="3"/>
  <c r="A35" i="3"/>
  <c r="BE39" i="3"/>
  <c r="BH39" i="3" s="1"/>
  <c r="BF40" i="3"/>
  <c r="E44" i="3"/>
  <c r="A46" i="3"/>
  <c r="A48" i="3"/>
  <c r="A55" i="3"/>
  <c r="AM55" i="3"/>
  <c r="M57" i="3"/>
  <c r="A63" i="3"/>
  <c r="AD19" i="3"/>
  <c r="Z43" i="3"/>
  <c r="AC55" i="3"/>
  <c r="J23" i="3"/>
  <c r="S29" i="3"/>
  <c r="AJ17" i="3"/>
  <c r="S8" i="3"/>
  <c r="S9" i="3"/>
  <c r="E14" i="3"/>
  <c r="A18" i="3"/>
  <c r="T19" i="3"/>
  <c r="J20" i="3"/>
  <c r="J21" i="3"/>
  <c r="Z23" i="3"/>
  <c r="J25" i="3"/>
  <c r="AK25" i="3"/>
  <c r="AD26" i="3"/>
  <c r="Y29" i="3"/>
  <c r="G30" i="3"/>
  <c r="BF30" i="3"/>
  <c r="AF33" i="3"/>
  <c r="H35" i="3"/>
  <c r="AK35" i="3"/>
  <c r="BG38" i="3"/>
  <c r="BF39" i="3"/>
  <c r="P44" i="3"/>
  <c r="M50" i="3"/>
  <c r="D55" i="3"/>
  <c r="D56" i="3"/>
  <c r="N57" i="3"/>
  <c r="Y63" i="3"/>
  <c r="AE62" i="3"/>
  <c r="AJ25" i="3"/>
  <c r="BE30" i="3"/>
  <c r="BG30" i="3" s="1"/>
  <c r="W9" i="3"/>
  <c r="Q20" i="3"/>
  <c r="AB63" i="3"/>
  <c r="AD25" i="3"/>
  <c r="H39" i="3"/>
  <c r="AB47" i="3"/>
  <c r="M49" i="3"/>
  <c r="AS34" i="3"/>
  <c r="AF62" i="3"/>
  <c r="A12" i="3"/>
  <c r="C30" i="3"/>
  <c r="L30" i="3"/>
  <c r="L35" i="3"/>
  <c r="Z44" i="3"/>
  <c r="A51" i="3"/>
  <c r="Y8" i="3"/>
  <c r="Y9" i="3"/>
  <c r="A19" i="3"/>
  <c r="W19" i="3"/>
  <c r="T20" i="3"/>
  <c r="A22" i="3"/>
  <c r="T25" i="3"/>
  <c r="A26" i="3"/>
  <c r="AJ26" i="3"/>
  <c r="C29" i="3"/>
  <c r="AJ29" i="3"/>
  <c r="S30" i="3"/>
  <c r="L34" i="3"/>
  <c r="P35" i="3"/>
  <c r="B42" i="3"/>
  <c r="AF44" i="3"/>
  <c r="AB51" i="3"/>
  <c r="O55" i="3"/>
  <c r="V56" i="3"/>
  <c r="A62" i="3"/>
  <c r="AE63" i="3"/>
  <c r="L29" i="3"/>
  <c r="AS36" i="3"/>
  <c r="B11" i="3"/>
  <c r="A21" i="3"/>
  <c r="AG25" i="3"/>
  <c r="AF35" i="3"/>
  <c r="K57" i="3"/>
  <c r="X26" i="3"/>
  <c r="AB33" i="3"/>
  <c r="H5" i="3"/>
  <c r="W8" i="3"/>
  <c r="Q14" i="3"/>
  <c r="AJ18" i="3"/>
  <c r="AJ23" i="3"/>
  <c r="Q25" i="3"/>
  <c r="AG26" i="3"/>
  <c r="AA29" i="3"/>
  <c r="H34" i="3"/>
  <c r="AB48" i="3"/>
  <c r="K55" i="3"/>
  <c r="K56" i="3"/>
  <c r="R57" i="3"/>
  <c r="A15" i="3"/>
  <c r="H6" i="3"/>
  <c r="AE9" i="3"/>
  <c r="X19" i="3"/>
  <c r="W20" i="3"/>
  <c r="J22" i="3"/>
  <c r="A24" i="3"/>
  <c r="W25" i="3"/>
  <c r="J26" i="3"/>
  <c r="AK26" i="3"/>
  <c r="BE29" i="3"/>
  <c r="BG29" i="3" s="1"/>
  <c r="V30" i="3"/>
  <c r="B32" i="3"/>
  <c r="P34" i="3"/>
  <c r="T35" i="3"/>
  <c r="AF36" i="3"/>
  <c r="C39" i="3"/>
  <c r="C40" i="3"/>
  <c r="E43" i="3"/>
  <c r="A45" i="3"/>
  <c r="A47" i="3"/>
  <c r="A49" i="3"/>
  <c r="A52" i="3"/>
  <c r="R55" i="3"/>
  <c r="AC56" i="3"/>
  <c r="C38" i="2"/>
  <c r="E43" i="2"/>
  <c r="AT44" i="2"/>
  <c r="J59" i="2"/>
  <c r="X10" i="2"/>
  <c r="D12" i="2"/>
  <c r="S43" i="2"/>
  <c r="AD58" i="2"/>
  <c r="D62" i="2"/>
  <c r="AB10" i="2"/>
  <c r="X12" i="2"/>
  <c r="C31" i="2"/>
  <c r="N38" i="2"/>
  <c r="E46" i="2"/>
  <c r="AE55" i="2"/>
  <c r="D59" i="2"/>
  <c r="AD62" i="2"/>
  <c r="AJ55" i="2"/>
  <c r="AG10" i="2"/>
  <c r="AJ43" i="2"/>
  <c r="E33" i="2"/>
  <c r="AN55" i="2"/>
  <c r="AD59" i="2"/>
  <c r="D63" i="2"/>
  <c r="AT38" i="2"/>
  <c r="L35" i="2"/>
  <c r="AL10" i="2"/>
  <c r="A16" i="2"/>
  <c r="A1" i="2"/>
  <c r="AJ9" i="2"/>
  <c r="D11" i="2"/>
  <c r="C19" i="2"/>
  <c r="L33" i="2"/>
  <c r="C40" i="2"/>
  <c r="E44" i="2"/>
  <c r="E53" i="2"/>
  <c r="B56" i="2"/>
  <c r="H60" i="2"/>
  <c r="AD63" i="2"/>
  <c r="A7" i="2"/>
  <c r="C20" i="2"/>
  <c r="C34" i="2"/>
  <c r="C36" i="2"/>
  <c r="S44" i="2"/>
  <c r="BE56" i="1"/>
  <c r="BB25" i="1"/>
  <c r="P28" i="1" s="1"/>
  <c r="BD54" i="1"/>
  <c r="BD49" i="1"/>
  <c r="BN37" i="1"/>
  <c r="BD52" i="1"/>
  <c r="BN11" i="1"/>
  <c r="BD51" i="1"/>
  <c r="BD50" i="1"/>
  <c r="BD53" i="1"/>
  <c r="D39" i="2"/>
  <c r="F46" i="3"/>
  <c r="F48" i="3"/>
  <c r="F47" i="3"/>
  <c r="F49" i="3"/>
  <c r="AW48" i="1"/>
  <c r="J5" i="4"/>
  <c r="P45" i="3"/>
  <c r="P46" i="3"/>
  <c r="BD56" i="1"/>
  <c r="AU48" i="1" s="1"/>
  <c r="K5" i="4" l="1"/>
  <c r="BG39" i="3"/>
  <c r="BG43" i="1"/>
  <c r="BG46" i="1"/>
  <c r="BH30" i="3"/>
  <c r="BG18" i="1"/>
  <c r="BN20" i="1"/>
  <c r="BN21" i="1"/>
  <c r="BN24" i="1"/>
  <c r="BN26" i="1"/>
  <c r="BG27" i="1"/>
  <c r="BN27" i="1"/>
  <c r="BN29" i="1"/>
  <c r="BN30" i="1"/>
  <c r="BO32" i="1"/>
  <c r="BN33" i="1"/>
  <c r="BN36" i="1"/>
  <c r="BG41" i="1"/>
  <c r="BG42" i="1"/>
  <c r="BN35" i="1"/>
  <c r="BG95" i="1"/>
  <c r="BN39" i="1"/>
  <c r="BG40" i="3"/>
  <c r="AB11" i="2"/>
  <c r="BH29" i="3"/>
  <c r="BG26" i="1"/>
  <c r="BG98" i="1"/>
  <c r="BG96" i="1"/>
  <c r="BG12" i="1"/>
  <c r="BN23" i="1"/>
  <c r="BN34" i="1"/>
  <c r="BN38" i="1"/>
  <c r="Z46" i="3"/>
  <c r="Z45" i="3"/>
  <c r="BB6" i="3"/>
  <c r="BB6" i="2"/>
  <c r="BN25" i="1"/>
  <c r="BN28" i="1"/>
  <c r="BN22" i="1"/>
  <c r="BN31" i="1"/>
  <c r="BG11" i="1"/>
  <c r="BG17" i="1"/>
  <c r="BN10" i="1"/>
  <c r="BN9" i="1"/>
</calcChain>
</file>

<file path=xl/sharedStrings.xml><?xml version="1.0" encoding="utf-8"?>
<sst xmlns="http://schemas.openxmlformats.org/spreadsheetml/2006/main" count="1121" uniqueCount="566">
  <si>
    <t>Resume</t>
    <phoneticPr fontId="6" type="noConversion"/>
  </si>
  <si>
    <t>Language-1</t>
    <phoneticPr fontId="6" type="noConversion"/>
  </si>
  <si>
    <t>未選択</t>
    <rPh sb="0" eb="1">
      <t>ﾐ</t>
    </rPh>
    <rPh sb="1" eb="3">
      <t>ｾﾝﾀｸ</t>
    </rPh>
    <phoneticPr fontId="6" type="noConversion"/>
  </si>
  <si>
    <t>Language-2</t>
    <phoneticPr fontId="6" type="noConversion"/>
  </si>
  <si>
    <t>日本語</t>
    <rPh sb="0" eb="3">
      <t>ﾆﾎﾝｺﾞ</t>
    </rPh>
    <phoneticPr fontId="6" type="noConversion"/>
  </si>
  <si>
    <t>English</t>
    <phoneticPr fontId="6" type="noConversion"/>
  </si>
  <si>
    <t>中文</t>
    <rPh sb="0" eb="2">
      <t>ﾁｭｳﾌﾞﾝ</t>
    </rPh>
    <phoneticPr fontId="6" type="noConversion"/>
  </si>
  <si>
    <t>中国</t>
    <rPh sb="0" eb="2">
      <t>ﾁｭｳｺﾞｸ</t>
    </rPh>
    <phoneticPr fontId="6" type="noConversion"/>
  </si>
  <si>
    <t xml:space="preserve"> </t>
    <phoneticPr fontId="6" type="noConversion"/>
  </si>
  <si>
    <t>.</t>
  </si>
  <si>
    <t>(</t>
  </si>
  <si>
    <t>）</t>
  </si>
  <si>
    <t>（</t>
  </si>
  <si>
    <t>(1)</t>
  </si>
  <si>
    <t>○</t>
    <phoneticPr fontId="6" type="noConversion"/>
  </si>
  <si>
    <t>【１】</t>
    <phoneticPr fontId="6" type="noConversion"/>
  </si>
  <si>
    <t>）</t>
    <phoneticPr fontId="6" type="noConversion"/>
  </si>
  <si>
    <t>(2)</t>
  </si>
  <si>
    <t>　</t>
  </si>
  <si>
    <t>【２】</t>
    <phoneticPr fontId="6" type="noConversion"/>
  </si>
  <si>
    <t>(3)</t>
  </si>
  <si>
    <t>(4)</t>
  </si>
  <si>
    <t>(5)</t>
  </si>
  <si>
    <t>ヶ月</t>
    <rPh sb="1" eb="2">
      <t>ｹﾞﾂ</t>
    </rPh>
    <phoneticPr fontId="6" type="noConversion"/>
  </si>
  <si>
    <t>／</t>
  </si>
  <si>
    <t>～</t>
  </si>
  <si>
    <t>(6)</t>
  </si>
  <si>
    <t>計月</t>
    <rPh sb="0" eb="1">
      <t>ｹｲ</t>
    </rPh>
    <rPh sb="1" eb="2">
      <t>ﾂｷ</t>
    </rPh>
    <phoneticPr fontId="6" type="noConversion"/>
  </si>
  <si>
    <t>最終学歴学校名</t>
    <rPh sb="0" eb="2">
      <t>ｻｲｼｭｳ</t>
    </rPh>
    <rPh sb="2" eb="4">
      <t>ｶﾞｸﾚｷ</t>
    </rPh>
    <rPh sb="4" eb="6">
      <t>ｶﾞｯｺｳ</t>
    </rPh>
    <rPh sb="6" eb="7">
      <t>ﾒｲ</t>
    </rPh>
    <phoneticPr fontId="6" type="noConversion"/>
  </si>
  <si>
    <t>卒業年月</t>
    <rPh sb="0" eb="2">
      <t>ｿﾂｷﾞｮｳ</t>
    </rPh>
    <rPh sb="2" eb="3">
      <t>ﾈﾝ</t>
    </rPh>
    <rPh sb="3" eb="4">
      <t>ﾂｷ</t>
    </rPh>
    <phoneticPr fontId="6" type="noConversion"/>
  </si>
  <si>
    <t>計年月</t>
    <rPh sb="0" eb="1">
      <t>ｹｲ</t>
    </rPh>
    <rPh sb="1" eb="2">
      <t>ﾈﾝ</t>
    </rPh>
    <rPh sb="2" eb="3">
      <t>ﾂｷ</t>
    </rPh>
    <phoneticPr fontId="6" type="noConversion"/>
  </si>
  <si>
    <t>(5)</t>
    <phoneticPr fontId="6" type="noConversion"/>
  </si>
  <si>
    <r>
      <t>(</t>
    </r>
    <r>
      <rPr>
        <sz val="10"/>
        <rFont val="Arial Unicode MS"/>
        <family val="3"/>
        <charset val="134"/>
      </rPr>
      <t>4</t>
    </r>
    <r>
      <rPr>
        <sz val="10"/>
        <rFont val="Arial Unicode MS"/>
        <family val="3"/>
        <charset val="134"/>
      </rPr>
      <t>)</t>
    </r>
    <phoneticPr fontId="6" type="noConversion"/>
  </si>
  <si>
    <t>A.</t>
  </si>
  <si>
    <t>(2)</t>
    <phoneticPr fontId="6" type="noConversion"/>
  </si>
  <si>
    <t>B.</t>
  </si>
  <si>
    <t>［</t>
    <phoneticPr fontId="6" type="noConversion"/>
  </si>
  <si>
    <t>］</t>
    <phoneticPr fontId="6" type="noConversion"/>
  </si>
  <si>
    <t>Expenses</t>
  </si>
  <si>
    <t>履歴書より転記</t>
    <rPh sb="0" eb="3">
      <t>ﾘﾚｷｼｮ</t>
    </rPh>
    <rPh sb="5" eb="7">
      <t>ﾃﾝｷ</t>
    </rPh>
    <phoneticPr fontId="6" type="noConversion"/>
  </si>
  <si>
    <t>第２支弁者有無</t>
    <rPh sb="0" eb="1">
      <t>ﾀﾞｲ</t>
    </rPh>
    <rPh sb="2" eb="4">
      <t>ｼﾍﾞﾝ</t>
    </rPh>
    <rPh sb="4" eb="5">
      <t>ｼｬ</t>
    </rPh>
    <rPh sb="5" eb="7">
      <t>ｳﾑ</t>
    </rPh>
    <phoneticPr fontId="6" type="noConversion"/>
  </si>
  <si>
    <t>姓</t>
    <rPh sb="0" eb="1">
      <t>ｾｲ</t>
    </rPh>
    <phoneticPr fontId="6" type="noConversion"/>
  </si>
  <si>
    <t>名</t>
    <rPh sb="0" eb="1">
      <t>ﾒｲ</t>
    </rPh>
    <phoneticPr fontId="6" type="noConversion"/>
  </si>
  <si>
    <t>仕事</t>
    <rPh sb="0" eb="2">
      <t>ｼｺﾞﾄ</t>
    </rPh>
    <phoneticPr fontId="6" type="noConversion"/>
  </si>
  <si>
    <t>現住所</t>
    <rPh sb="0" eb="3">
      <t>ｹﾞﾝｼﾞｭｳｼｮ</t>
    </rPh>
    <phoneticPr fontId="6" type="noConversion"/>
  </si>
  <si>
    <t>書類作成日</t>
    <rPh sb="0" eb="2">
      <t>ｼｮﾙｲ</t>
    </rPh>
    <rPh sb="2" eb="4">
      <t>ｻｸｾｲ</t>
    </rPh>
    <rPh sb="4" eb="5">
      <t>ﾋﾞ</t>
    </rPh>
    <phoneticPr fontId="6" type="noConversion"/>
  </si>
  <si>
    <t>)</t>
  </si>
  <si>
    <t>No.</t>
  </si>
  <si>
    <t>Application</t>
    <phoneticPr fontId="6" type="noConversion"/>
  </si>
  <si>
    <t>WORLD NET EDUCATION GROUP APPLICATION FOR ADMISSION</t>
  </si>
  <si>
    <t>■</t>
  </si>
  <si>
    <t>4 x 3 c m</t>
  </si>
  <si>
    <t>【请务必输入】
　・前年年收入金额
　・职业
　・公司名称
　・公司地址
　・公司电话号码</t>
    <phoneticPr fontId="6" type="noConversion"/>
  </si>
  <si>
    <t>1.</t>
  </si>
  <si>
    <t>2.</t>
  </si>
  <si>
    <t>このシートは印刷されません。 不被印刷 not print</t>
  </si>
  <si>
    <t>氏名（英字)</t>
  </si>
  <si>
    <t>氏名（漢字）</t>
  </si>
  <si>
    <t>性別</t>
  </si>
  <si>
    <t>生年月日</t>
  </si>
  <si>
    <t>国籍</t>
  </si>
  <si>
    <t>出生地</t>
    <rPh sb="0" eb="3">
      <t>ｼｭｯｾｲﾁ</t>
    </rPh>
    <phoneticPr fontId="6" type="noConversion"/>
  </si>
  <si>
    <t>紹介者</t>
  </si>
  <si>
    <t>卒業証書発行機関</t>
  </si>
  <si>
    <t>学校種別</t>
  </si>
  <si>
    <t>卒業年月</t>
  </si>
  <si>
    <t>学校名</t>
  </si>
  <si>
    <t>学習期間（参考）</t>
    <rPh sb="0" eb="2">
      <t>ｶﾞｸｼｭｳ</t>
    </rPh>
    <rPh sb="2" eb="4">
      <t>ｷｶﾝ</t>
    </rPh>
    <rPh sb="5" eb="7">
      <t>ｻﾝｺｳ</t>
    </rPh>
    <phoneticPr fontId="6" type="noConversion"/>
  </si>
  <si>
    <t>Sheet</t>
  </si>
  <si>
    <t>Sno</t>
  </si>
  <si>
    <t>jp,2,日本語</t>
  </si>
  <si>
    <t>en,3,English</t>
  </si>
  <si>
    <t>ch,4,中文</t>
  </si>
  <si>
    <t>Resume</t>
  </si>
  <si>
    <t>申請学校を選択してください。</t>
  </si>
  <si>
    <t>Please choose an application school.</t>
  </si>
  <si>
    <t>请申请校选择。</t>
  </si>
  <si>
    <t>未選択</t>
  </si>
  <si>
    <t>Unselected</t>
  </si>
  <si>
    <t>未选择</t>
  </si>
  <si>
    <t>履歴書</t>
  </si>
  <si>
    <t>PERSONAL RECORDS</t>
  </si>
  <si>
    <t>Nationality</t>
  </si>
  <si>
    <t>氏名</t>
  </si>
  <si>
    <t>Full name</t>
  </si>
  <si>
    <t>姓名</t>
  </si>
  <si>
    <t>姓</t>
  </si>
  <si>
    <t>Family name</t>
  </si>
  <si>
    <t>名</t>
  </si>
  <si>
    <t>Middle, Given name</t>
  </si>
  <si>
    <t>Date of Birth</t>
  </si>
  <si>
    <t>出生年月日</t>
  </si>
  <si>
    <t>年</t>
  </si>
  <si>
    <t>Year</t>
  </si>
  <si>
    <t>月</t>
  </si>
  <si>
    <t>Month</t>
  </si>
  <si>
    <t>日</t>
  </si>
  <si>
    <t>Day</t>
  </si>
  <si>
    <t>Sex</t>
  </si>
  <si>
    <t>男</t>
  </si>
  <si>
    <t>Male</t>
    <phoneticPr fontId="6" type="noConversion"/>
  </si>
  <si>
    <t>女</t>
  </si>
  <si>
    <t>Female</t>
    <phoneticPr fontId="6" type="noConversion"/>
  </si>
  <si>
    <t>現住所</t>
  </si>
  <si>
    <t>Present Address</t>
  </si>
  <si>
    <t>现在地址</t>
  </si>
  <si>
    <t>戸籍住所</t>
  </si>
  <si>
    <t>Register Address</t>
    <phoneticPr fontId="6" type="noConversion"/>
  </si>
  <si>
    <t>户口所在地</t>
    <phoneticPr fontId="6" type="noConversion"/>
  </si>
  <si>
    <t>出生地</t>
  </si>
  <si>
    <t>Place of Birth</t>
  </si>
  <si>
    <t>県</t>
  </si>
  <si>
    <t>State</t>
  </si>
  <si>
    <t>省</t>
  </si>
  <si>
    <t>市</t>
  </si>
  <si>
    <t>City</t>
  </si>
  <si>
    <t>婚姻状况</t>
  </si>
  <si>
    <t>Marriage Status</t>
  </si>
  <si>
    <t>未婚</t>
  </si>
  <si>
    <t>Single</t>
    <phoneticPr fontId="6" type="noConversion"/>
  </si>
  <si>
    <t>既婚</t>
  </si>
  <si>
    <t>Married</t>
  </si>
  <si>
    <t>已婚</t>
  </si>
  <si>
    <t>婚姻対象者氏名</t>
  </si>
  <si>
    <t>Name of Spouse</t>
  </si>
  <si>
    <t>结婚对象者姓名</t>
  </si>
  <si>
    <t>家族</t>
  </si>
  <si>
    <t>Family</t>
  </si>
  <si>
    <t>経費支弁者を最初に記入してください。</t>
    <rPh sb="0" eb="2">
      <t>ｹｲﾋ</t>
    </rPh>
    <rPh sb="6" eb="8">
      <t>ｻｲｼｮ</t>
    </rPh>
    <rPh sb="9" eb="11">
      <t>ｷﾆｭｳ</t>
    </rPh>
    <phoneticPr fontId="6" type="noConversion"/>
  </si>
  <si>
    <t>请先输入支付人信息</t>
    <phoneticPr fontId="6" type="noConversion"/>
  </si>
  <si>
    <r>
      <t>支弁者1</t>
    </r>
    <r>
      <rPr>
        <sz val="11"/>
        <rFont val="ＭＳ Ｐゴシック"/>
        <family val="3"/>
        <charset val="128"/>
      </rPr>
      <t>・</t>
    </r>
    <r>
      <rPr>
        <sz val="11"/>
        <rFont val="Arial Unicode MS"/>
        <family val="3"/>
        <charset val="134"/>
      </rPr>
      <t>記入行</t>
    </r>
    <rPh sb="5" eb="7">
      <t>ｷﾆｭｳ</t>
    </rPh>
    <rPh sb="7" eb="8">
      <t>ｷﾞｮｳ</t>
    </rPh>
    <phoneticPr fontId="6" type="noConversion"/>
  </si>
  <si>
    <t>Sponsor1</t>
    <phoneticPr fontId="6" type="noConversion"/>
  </si>
  <si>
    <t>此行输入支付人信息</t>
    <phoneticPr fontId="6" type="noConversion"/>
  </si>
  <si>
    <r>
      <t>支弁者2</t>
    </r>
    <r>
      <rPr>
        <sz val="11"/>
        <rFont val="ＭＳ Ｐゴシック"/>
        <family val="3"/>
        <charset val="128"/>
      </rPr>
      <t>・</t>
    </r>
    <r>
      <rPr>
        <sz val="11"/>
        <rFont val="Arial Unicode MS"/>
        <family val="3"/>
        <charset val="134"/>
      </rPr>
      <t>記入行（居る場合）</t>
    </r>
    <rPh sb="5" eb="7">
      <t>ｷﾆｭｳ</t>
    </rPh>
    <rPh sb="7" eb="8">
      <t>ｷﾞｮｳ</t>
    </rPh>
    <rPh sb="9" eb="10">
      <t>ｲ</t>
    </rPh>
    <rPh sb="11" eb="13">
      <t>ﾊﾞｱｲ</t>
    </rPh>
    <phoneticPr fontId="6" type="noConversion"/>
  </si>
  <si>
    <t>Sponsor2</t>
    <phoneticPr fontId="6" type="noConversion"/>
  </si>
  <si>
    <t>第二个支付人信息（如果有）</t>
    <phoneticPr fontId="6" type="noConversion"/>
  </si>
  <si>
    <t>支弁者2マーク</t>
    <phoneticPr fontId="6" type="noConversion"/>
  </si>
  <si>
    <t>Sponsor2 Mark</t>
    <phoneticPr fontId="6" type="noConversion"/>
  </si>
  <si>
    <t>支付人2</t>
    <phoneticPr fontId="6" type="noConversion"/>
  </si>
  <si>
    <t>支付人2（输入关系）</t>
  </si>
  <si>
    <t>支弁者</t>
    <phoneticPr fontId="6" type="noConversion"/>
  </si>
  <si>
    <t>Sponsor</t>
    <phoneticPr fontId="6" type="noConversion"/>
  </si>
  <si>
    <t>支付人</t>
    <phoneticPr fontId="6" type="noConversion"/>
  </si>
  <si>
    <t>関係</t>
  </si>
  <si>
    <t>Relationship</t>
  </si>
  <si>
    <t>关系</t>
  </si>
  <si>
    <t>住所</t>
  </si>
  <si>
    <t>地址</t>
  </si>
  <si>
    <t>職業</t>
  </si>
  <si>
    <t>Occupation</t>
  </si>
  <si>
    <t>职业</t>
  </si>
  <si>
    <t>同居有無</t>
    <rPh sb="0" eb="2">
      <t>ﾄﾞｳｷｮ</t>
    </rPh>
    <rPh sb="2" eb="4">
      <t>ｳﾑ</t>
    </rPh>
    <phoneticPr fontId="6" type="noConversion"/>
  </si>
  <si>
    <t>Living together</t>
    <phoneticPr fontId="6" type="noConversion"/>
  </si>
  <si>
    <t>同居</t>
    <rPh sb="0" eb="2">
      <t>ﾄﾞｳｷｮ</t>
    </rPh>
    <phoneticPr fontId="6" type="noConversion"/>
  </si>
  <si>
    <t>Together</t>
    <phoneticPr fontId="6" type="noConversion"/>
  </si>
  <si>
    <t>別居</t>
    <rPh sb="0" eb="2">
      <t>ﾍﾞｯｷｮ</t>
    </rPh>
    <phoneticPr fontId="6" type="noConversion"/>
  </si>
  <si>
    <t>Separately</t>
    <phoneticPr fontId="6" type="noConversion"/>
  </si>
  <si>
    <t>学歴（小学校から順に最終学歴まで記入してください）</t>
  </si>
  <si>
    <t>Educational Background（in order from primary school to last school）</t>
  </si>
  <si>
    <t>学历（从初等教育（小学校）开始，順次到最終学历为止）</t>
  </si>
  <si>
    <t>Name of School</t>
  </si>
  <si>
    <t>学校名称</t>
  </si>
  <si>
    <t>所在地</t>
  </si>
  <si>
    <t>Location</t>
  </si>
  <si>
    <t>学習期間</t>
  </si>
  <si>
    <t>Period of Schooling</t>
  </si>
  <si>
    <t>学习期间</t>
  </si>
  <si>
    <t>入学年月</t>
  </si>
  <si>
    <t>Entrance( Y / M )</t>
  </si>
  <si>
    <t>Graduation( Y / M )</t>
  </si>
  <si>
    <t>毕业年月</t>
  </si>
  <si>
    <t>最終学歴</t>
  </si>
  <si>
    <t>Final Education</t>
  </si>
  <si>
    <t>中学校</t>
    <rPh sb="0" eb="3">
      <t>ﾁｭｳｶﾞｯｺｳ</t>
    </rPh>
    <phoneticPr fontId="6" type="noConversion"/>
  </si>
  <si>
    <t>Junior high school</t>
    <phoneticPr fontId="6" type="noConversion"/>
  </si>
  <si>
    <t>初中</t>
    <phoneticPr fontId="6" type="noConversion"/>
  </si>
  <si>
    <t>高等学校</t>
  </si>
  <si>
    <t>Senior high school</t>
  </si>
  <si>
    <t>高级中学</t>
  </si>
  <si>
    <t>専門学校</t>
  </si>
  <si>
    <t>College</t>
  </si>
  <si>
    <t>专门学校</t>
  </si>
  <si>
    <t>短期大学</t>
  </si>
  <si>
    <t>Junior college</t>
  </si>
  <si>
    <t>短期大学(専科)</t>
  </si>
  <si>
    <t>大学(学士)</t>
  </si>
  <si>
    <t>Bachelor</t>
  </si>
  <si>
    <t>大学院(修士)</t>
  </si>
  <si>
    <t>Master</t>
  </si>
  <si>
    <t>大学院(硕士)</t>
  </si>
  <si>
    <t>大学院(博士)</t>
  </si>
  <si>
    <t>Doctor</t>
  </si>
  <si>
    <t>日本語学習歴</t>
  </si>
  <si>
    <t>Japanese Language Background</t>
  </si>
  <si>
    <t>日本语学历</t>
  </si>
  <si>
    <t>学習時間数</t>
  </si>
  <si>
    <t>Learning hours</t>
  </si>
  <si>
    <t>学习时数</t>
  </si>
  <si>
    <t>時間</t>
    <rPh sb="0" eb="2">
      <t>ｼﾞｶﾝ</t>
    </rPh>
    <phoneticPr fontId="6" type="noConversion"/>
  </si>
  <si>
    <t>hours</t>
    <phoneticPr fontId="6" type="noConversion"/>
  </si>
  <si>
    <t>时数</t>
    <phoneticPr fontId="6" type="noConversion"/>
  </si>
  <si>
    <t>職歴・兵役（年月順）</t>
  </si>
  <si>
    <t>Employment History / Military Service（chronological order）</t>
  </si>
  <si>
    <t>职历・兵役（按就职年月日順次填入）</t>
  </si>
  <si>
    <t>会社名</t>
  </si>
  <si>
    <t>Name of Employer</t>
  </si>
  <si>
    <t>公司名称</t>
  </si>
  <si>
    <t>就職年月</t>
  </si>
  <si>
    <t>Employment( Y / M )</t>
  </si>
  <si>
    <t>就职年月</t>
  </si>
  <si>
    <t>退職年月</t>
  </si>
  <si>
    <t>Retirement( Y / M )</t>
  </si>
  <si>
    <t>退职年月</t>
  </si>
  <si>
    <t>日本出入国歴</t>
  </si>
  <si>
    <t>Previous Visits to Japan</t>
  </si>
  <si>
    <t>日本出入国历</t>
  </si>
  <si>
    <t>入国年月日</t>
  </si>
  <si>
    <t>Entry ( Y/M/D )</t>
  </si>
  <si>
    <t>出国年月日</t>
  </si>
  <si>
    <t>Departure ( Y/M/D )</t>
  </si>
  <si>
    <t>在留资歴</t>
  </si>
  <si>
    <t>Visa Status</t>
  </si>
  <si>
    <t>在留资格</t>
  </si>
  <si>
    <t>入国目歴</t>
  </si>
  <si>
    <t>Purpose</t>
  </si>
  <si>
    <t>入国目的</t>
  </si>
  <si>
    <t>留学理歴</t>
  </si>
  <si>
    <t>Purpose and Reason for Study</t>
  </si>
  <si>
    <t>留学理由</t>
  </si>
  <si>
    <t>卒業後の予定</t>
  </si>
  <si>
    <t>Post-Graduation Plan in Japan</t>
  </si>
  <si>
    <t>毕业后的予定</t>
  </si>
  <si>
    <t>進学希望</t>
  </si>
  <si>
    <t>Further Schooling</t>
  </si>
  <si>
    <t>大学院</t>
  </si>
  <si>
    <t>Graduate School</t>
  </si>
  <si>
    <t>大学</t>
  </si>
  <si>
    <t>University</t>
  </si>
  <si>
    <t>短大</t>
  </si>
  <si>
    <t>Junior College</t>
  </si>
  <si>
    <t>Vocational School</t>
  </si>
  <si>
    <t>その他</t>
  </si>
  <si>
    <t>Others</t>
  </si>
  <si>
    <t>其他</t>
  </si>
  <si>
    <t>希望分野</t>
  </si>
  <si>
    <t>Field of Study</t>
  </si>
  <si>
    <t>希望专业</t>
  </si>
  <si>
    <t>文系</t>
  </si>
  <si>
    <t>Humanities and Social Sciences</t>
  </si>
  <si>
    <t>文科系</t>
  </si>
  <si>
    <t>理系</t>
  </si>
  <si>
    <t>Science</t>
  </si>
  <si>
    <t>志望学科</t>
  </si>
  <si>
    <t>Subject of Study</t>
  </si>
  <si>
    <t>その他（帰国等）</t>
  </si>
  <si>
    <t>Others（e.g. Return Home）</t>
  </si>
  <si>
    <t>其他（帰国等）</t>
  </si>
  <si>
    <t>以上、すべて、私</t>
  </si>
  <si>
    <t>I</t>
  </si>
  <si>
    <t>以上，全部属实，我</t>
  </si>
  <si>
    <t>が、記入しました。</t>
  </si>
  <si>
    <t>hereby declare the above statements to be true and correct．</t>
  </si>
  <si>
    <t>亲自填写</t>
  </si>
  <si>
    <t>記入年月日</t>
  </si>
  <si>
    <t>Date</t>
  </si>
  <si>
    <t>填写年月日</t>
  </si>
  <si>
    <t>本人署名</t>
  </si>
  <si>
    <t>Signature of Applicant</t>
  </si>
  <si>
    <t>経費支弁書</t>
  </si>
  <si>
    <t>Statement of Financial Support</t>
  </si>
  <si>
    <t>经费支付书</t>
  </si>
  <si>
    <t>日本国法務大臣　殿</t>
  </si>
  <si>
    <t>Minister of Justice in Japan</t>
  </si>
  <si>
    <t>申請者氏名</t>
  </si>
  <si>
    <t>Applicants Name</t>
  </si>
  <si>
    <t>申请者姓名</t>
  </si>
  <si>
    <t>私は、この度、上記のものが日本国に『在留中・入国した場合』の経費支弁者になりましたので、下記の通り経費支弁の引き受け経緯を説明するとともに、経費支弁について誓約します。</t>
  </si>
  <si>
    <t>I hereby explain the reason why I have taken any financial responsibility for above person while he/she is staying in Japan and entering into Japan, and again I hereby promise that I am in a position to assume all the responsibilities as stated below.</t>
  </si>
  <si>
    <t>我本人同意上述人员入贵学院，并且担保同人在日本居留期间、入国时之经费支付。下述说明经费支付经过、并且誓约支付该人员在日所需要经费。</t>
  </si>
  <si>
    <t>経費支弁の引き受け経緯（申請者の経費の支弁を引き受けた経緯及び申請者との関係について具体的に記載してください。）</t>
    <phoneticPr fontId="6" type="noConversion"/>
  </si>
  <si>
    <t>Reason for financial support (Specify the reason why you have taken the responsibility for the applicant and explain the relationship between yourself and the applicant in detail)</t>
  </si>
  <si>
    <t>担保支付经费之经过（请具体说明担保理由及与申请者之关系）</t>
  </si>
  <si>
    <t>経費支弁保証内容</t>
  </si>
  <si>
    <t>Ability proof of expenses</t>
  </si>
  <si>
    <t>经费担保内容</t>
  </si>
  <si>
    <t>私</t>
  </si>
  <si>
    <t>我</t>
  </si>
  <si>
    <t>は、上記の者の日本国滞在について、下記のとおり経費支弁することを誓約します。</t>
  </si>
  <si>
    <t>pledge myself to take the financial responsibility of the person above while he/she stays in Japan as followings.</t>
  </si>
  <si>
    <t>誓约支付上述人员在日本居留期间的下述学费及生活费等经费。</t>
  </si>
  <si>
    <t>また、上記の者が在留期間更新許可申請を行なう際には、送金証明書又は本人名義の預金通帳（送金事実、経費支弁事実が記載されたもの）の写し等で、生活費等の支弁事実を明らかにする書類を提出します。</t>
  </si>
  <si>
    <t>While, in case he/she applies for an extension of his/her stay in Japan, I will submit copies of the documents which certify the remittance or his/her own bankbook in which the fact of remittance or financial support are stated, and which can prove the fact that his/her living expenses are being supported.</t>
  </si>
  <si>
    <t>此外，在上述人员申请办理居留期间更新许可时，提交汇款证明书或本人名义银行存折文件。（有记载汇款及支付经费之事实记录之复印件等，能证明支付生活费等之证明）</t>
  </si>
  <si>
    <t>学費</t>
  </si>
  <si>
    <t>Tuition Fees</t>
  </si>
  <si>
    <t>学费</t>
  </si>
  <si>
    <t>一年</t>
  </si>
  <si>
    <t>1Year</t>
  </si>
  <si>
    <t>円</t>
  </si>
  <si>
    <t>Japanese Yen</t>
  </si>
  <si>
    <t>生活費</t>
  </si>
  <si>
    <t>Living Expenses</t>
  </si>
  <si>
    <t>生活费</t>
  </si>
  <si>
    <t>月額</t>
  </si>
  <si>
    <t>Monthly Amount</t>
  </si>
  <si>
    <t>支弁方法</t>
  </si>
  <si>
    <t>Means of payment (Specify method of payment, transfer etc)</t>
  </si>
  <si>
    <t>支付方法(请具体说明汇款等支付方法)</t>
  </si>
  <si>
    <t>本書作成日を記入ください。</t>
    <rPh sb="0" eb="2">
      <t>ﾎﾝｼｮ</t>
    </rPh>
    <rPh sb="2" eb="5">
      <t>ｻｸｾｲﾋﾞ</t>
    </rPh>
    <rPh sb="6" eb="8">
      <t>ｷﾆｭｳ</t>
    </rPh>
    <phoneticPr fontId="6" type="noConversion"/>
  </si>
  <si>
    <t>Please be sure to write an entered day.</t>
  </si>
  <si>
    <t>请务必填写日期</t>
  </si>
  <si>
    <t>支弁者</t>
  </si>
  <si>
    <t>Name of Sponsor</t>
  </si>
  <si>
    <t>经费担保人（经济保证人）</t>
    <phoneticPr fontId="6" type="noConversion"/>
  </si>
  <si>
    <t>Address</t>
  </si>
  <si>
    <t>现住所</t>
  </si>
  <si>
    <t>電話番号</t>
  </si>
  <si>
    <t>Phone</t>
  </si>
  <si>
    <t>电话号码</t>
  </si>
  <si>
    <t>Register address</t>
    <phoneticPr fontId="6" type="noConversion"/>
  </si>
  <si>
    <t>氏名（署名）</t>
  </si>
  <si>
    <t>Name and Signature</t>
  </si>
  <si>
    <t>姓名(签名)</t>
  </si>
  <si>
    <t>本人</t>
    <phoneticPr fontId="6" type="noConversion"/>
  </si>
  <si>
    <t>Myself</t>
    <phoneticPr fontId="6" type="noConversion"/>
  </si>
  <si>
    <t>夫</t>
  </si>
  <si>
    <t>Husband</t>
  </si>
  <si>
    <t>丈夫</t>
  </si>
  <si>
    <t>妻</t>
  </si>
  <si>
    <t>Wife</t>
  </si>
  <si>
    <t>妻子</t>
  </si>
  <si>
    <t>父</t>
  </si>
  <si>
    <t>Father</t>
  </si>
  <si>
    <t>父亲</t>
  </si>
  <si>
    <t>母</t>
  </si>
  <si>
    <t>Mother</t>
  </si>
  <si>
    <t>母亲</t>
  </si>
  <si>
    <t>祖父</t>
  </si>
  <si>
    <t>Grandfather</t>
  </si>
  <si>
    <t>祖母</t>
  </si>
  <si>
    <t>Grandmother</t>
  </si>
  <si>
    <t>養父</t>
  </si>
  <si>
    <t>Foster father</t>
  </si>
  <si>
    <t>养父</t>
  </si>
  <si>
    <t>養母</t>
  </si>
  <si>
    <t>Foster mother</t>
  </si>
  <si>
    <t>养母</t>
  </si>
  <si>
    <t>兄</t>
  </si>
  <si>
    <t>Elder brother</t>
  </si>
  <si>
    <t>哥哥</t>
  </si>
  <si>
    <t>弟</t>
  </si>
  <si>
    <t>Younger brother</t>
  </si>
  <si>
    <t>弟弟</t>
  </si>
  <si>
    <t>姉</t>
  </si>
  <si>
    <t>Elder sister</t>
  </si>
  <si>
    <t>姐姐</t>
  </si>
  <si>
    <t>妹</t>
  </si>
  <si>
    <t>Younger sister</t>
  </si>
  <si>
    <t>妹妹</t>
  </si>
  <si>
    <t>息子</t>
    <rPh sb="0" eb="2">
      <t>ﾑｽｺ</t>
    </rPh>
    <phoneticPr fontId="6" type="noConversion"/>
  </si>
  <si>
    <r>
      <rPr>
        <sz val="11"/>
        <rFont val="ＭＳ Ｐゴシック"/>
        <family val="3"/>
        <charset val="128"/>
      </rPr>
      <t>S</t>
    </r>
    <r>
      <rPr>
        <sz val="11"/>
        <rFont val="Arial Unicode MS"/>
        <family val="3"/>
        <charset val="134"/>
      </rPr>
      <t>on</t>
    </r>
    <phoneticPr fontId="6" type="noConversion"/>
  </si>
  <si>
    <t>儿子</t>
    <phoneticPr fontId="6" type="noConversion"/>
  </si>
  <si>
    <t>娘</t>
    <rPh sb="0" eb="1">
      <t>ﾑｽﾒ</t>
    </rPh>
    <phoneticPr fontId="6" type="noConversion"/>
  </si>
  <si>
    <t>Daughter</t>
    <phoneticPr fontId="6" type="noConversion"/>
  </si>
  <si>
    <t>女儿</t>
    <rPh sb="0" eb="1">
      <t>ｵﾝﾅ</t>
    </rPh>
    <rPh sb="1" eb="2">
      <t>ｼﾞﾝ</t>
    </rPh>
    <phoneticPr fontId="6" type="noConversion"/>
  </si>
  <si>
    <t>叔父</t>
  </si>
  <si>
    <t>Uncle</t>
  </si>
  <si>
    <t>姑父</t>
    <phoneticPr fontId="6" type="noConversion"/>
  </si>
  <si>
    <t>姨夫</t>
    <phoneticPr fontId="6" type="noConversion"/>
  </si>
  <si>
    <t>叔母</t>
  </si>
  <si>
    <t>Aunt</t>
  </si>
  <si>
    <t>姑姑</t>
    <phoneticPr fontId="6" type="noConversion"/>
  </si>
  <si>
    <t>姨</t>
    <phoneticPr fontId="6" type="noConversion"/>
  </si>
  <si>
    <t>Application</t>
  </si>
  <si>
    <t>申請学校</t>
  </si>
  <si>
    <t>School</t>
  </si>
  <si>
    <t>请选择学校</t>
  </si>
  <si>
    <t>Introducer</t>
  </si>
  <si>
    <t>介绍人</t>
  </si>
  <si>
    <t>入学希望</t>
  </si>
  <si>
    <t>Date of Enrollment</t>
  </si>
  <si>
    <t>Y</t>
  </si>
  <si>
    <t>M</t>
  </si>
  <si>
    <t>D</t>
  </si>
  <si>
    <t>Intended Length of Study</t>
  </si>
  <si>
    <t>入学月不正等</t>
  </si>
  <si>
    <t>ERROR [ Date of Enrollment "M" ]</t>
  </si>
  <si>
    <t>入学月不正当</t>
  </si>
  <si>
    <t>申請者</t>
  </si>
  <si>
    <t>Applicants</t>
  </si>
  <si>
    <t>申请者</t>
  </si>
  <si>
    <t>Middle Name, Given name</t>
  </si>
  <si>
    <t>漢字</t>
  </si>
  <si>
    <t>Kanji</t>
  </si>
  <si>
    <t>Pinin</t>
  </si>
  <si>
    <t>English</t>
  </si>
  <si>
    <t>拼音</t>
  </si>
  <si>
    <t>Age</t>
  </si>
  <si>
    <t>年龄</t>
  </si>
  <si>
    <t>写真</t>
  </si>
  <si>
    <t>Photo</t>
  </si>
  <si>
    <t>照片</t>
  </si>
  <si>
    <t>Marriage</t>
    <phoneticPr fontId="6" type="noConversion"/>
  </si>
  <si>
    <t>旅券番号</t>
  </si>
  <si>
    <t>Passport No.</t>
  </si>
  <si>
    <t>护照号</t>
  </si>
  <si>
    <t>発行年月日</t>
  </si>
  <si>
    <t>Issue</t>
    <phoneticPr fontId="6" type="noConversion"/>
  </si>
  <si>
    <t>有効期限</t>
  </si>
  <si>
    <t>Expiration</t>
    <phoneticPr fontId="6" type="noConversion"/>
  </si>
  <si>
    <t>日本入国回数</t>
  </si>
  <si>
    <t>Previous Visits</t>
    <phoneticPr fontId="6" type="noConversion"/>
  </si>
  <si>
    <t>日本入境回数</t>
  </si>
  <si>
    <t>VISA申請歴</t>
  </si>
  <si>
    <t>Have you applied for any visa for Japan before?</t>
  </si>
  <si>
    <t>VISA申请经历</t>
  </si>
  <si>
    <t>無し</t>
  </si>
  <si>
    <t>No</t>
  </si>
  <si>
    <t>没有</t>
  </si>
  <si>
    <t>有り</t>
  </si>
  <si>
    <t>Yes</t>
  </si>
  <si>
    <t>有申请经历</t>
  </si>
  <si>
    <t>申請日</t>
  </si>
  <si>
    <t>申请日</t>
  </si>
  <si>
    <t>VISA種別</t>
  </si>
  <si>
    <t>Type of Visa</t>
  </si>
  <si>
    <t>結果</t>
  </si>
  <si>
    <t>Result</t>
  </si>
  <si>
    <t>结果</t>
  </si>
  <si>
    <t>申請歴有</t>
  </si>
  <si>
    <t xml:space="preserve">have applied </t>
  </si>
  <si>
    <t>日本語能力</t>
  </si>
  <si>
    <t>Japanese language ability</t>
  </si>
  <si>
    <t>日语能力</t>
  </si>
  <si>
    <t>日本語能力試験</t>
  </si>
  <si>
    <t>JLPT</t>
  </si>
  <si>
    <t>日本留学試験</t>
  </si>
  <si>
    <t>EJU</t>
  </si>
  <si>
    <t>聴解</t>
  </si>
  <si>
    <t>Listening</t>
  </si>
  <si>
    <t>聴読解</t>
  </si>
  <si>
    <t>Listening-Reading</t>
  </si>
  <si>
    <t>読解</t>
  </si>
  <si>
    <t>Reading</t>
  </si>
  <si>
    <t>合計</t>
  </si>
  <si>
    <t>Total</t>
  </si>
  <si>
    <t>J-TEST</t>
  </si>
  <si>
    <t>NAT</t>
  </si>
  <si>
    <t>GNK</t>
  </si>
  <si>
    <t>TOPJ</t>
  </si>
  <si>
    <t>Japanese learning</t>
  </si>
  <si>
    <t xml:space="preserve">日本語学習歴 </t>
  </si>
  <si>
    <t>回数</t>
  </si>
  <si>
    <t>Times</t>
  </si>
  <si>
    <t>合計時間</t>
  </si>
  <si>
    <t>Total Time</t>
  </si>
  <si>
    <t>总时间间</t>
  </si>
  <si>
    <t>日本語能力不正当</t>
  </si>
  <si>
    <t>Problem with Japanese ability</t>
  </si>
  <si>
    <t>日語能力不正当</t>
  </si>
  <si>
    <t>住居予定地</t>
  </si>
  <si>
    <t>The stay place in Japan</t>
  </si>
  <si>
    <t>住所预定地</t>
  </si>
  <si>
    <t>学生寮</t>
  </si>
  <si>
    <t>Dormitory</t>
  </si>
  <si>
    <t>Other</t>
  </si>
  <si>
    <t>学生寮外に住居する場合は、緊急連絡人を学校に届けなくてはいけません。</t>
  </si>
  <si>
    <t>It's necessary to fill out and submit the urgent phone number in Japan.</t>
  </si>
  <si>
    <t>如果不住学校宿舍，需要提供在日紧急联络人信息</t>
  </si>
  <si>
    <t>入寮</t>
  </si>
  <si>
    <t>不入寮</t>
  </si>
  <si>
    <t>No dormitory</t>
  </si>
  <si>
    <t>経費支弁者</t>
  </si>
  <si>
    <t>Sponsor</t>
  </si>
  <si>
    <t>经费担保人</t>
  </si>
  <si>
    <t>前年度年収</t>
    <rPh sb="0" eb="3">
      <t>ｾﾞﾝﾈﾝﾄﾞ</t>
    </rPh>
    <rPh sb="3" eb="5">
      <t>ﾈﾝｼｭｳ</t>
    </rPh>
    <phoneticPr fontId="6" type="noConversion"/>
  </si>
  <si>
    <t>Previous year annual income</t>
    <phoneticPr fontId="6" type="noConversion"/>
  </si>
  <si>
    <t>前年年收入金额</t>
    <phoneticPr fontId="6" type="noConversion"/>
  </si>
  <si>
    <t>勤務先名</t>
  </si>
  <si>
    <t>Office Name</t>
  </si>
  <si>
    <t>勤務先住所</t>
  </si>
  <si>
    <t>Office Address</t>
  </si>
  <si>
    <t>公司地址</t>
  </si>
  <si>
    <t>勤務先電話番号</t>
  </si>
  <si>
    <t>Office Phone</t>
  </si>
  <si>
    <t>公司电话号码</t>
  </si>
  <si>
    <t>在日親族</t>
  </si>
  <si>
    <t>Family in Japan</t>
  </si>
  <si>
    <t xml:space="preserve">在日本亲属 </t>
  </si>
  <si>
    <t>Full Name</t>
  </si>
  <si>
    <t>同居</t>
  </si>
  <si>
    <t>有</t>
  </si>
  <si>
    <t>無</t>
  </si>
  <si>
    <t>N</t>
  </si>
  <si>
    <t>无</t>
  </si>
  <si>
    <t>会社名・学校名</t>
  </si>
  <si>
    <t>Office, School</t>
  </si>
  <si>
    <t>公司名称・学校名</t>
  </si>
  <si>
    <t>在留番号</t>
  </si>
  <si>
    <t>在留卡号</t>
  </si>
  <si>
    <t>住所(都市)</t>
  </si>
  <si>
    <t>ADD(City)</t>
    <phoneticPr fontId="6" type="noConversion"/>
  </si>
  <si>
    <t>地址(城市)</t>
  </si>
  <si>
    <t>with applicant</t>
  </si>
  <si>
    <t>以上内容に間違いありません。</t>
  </si>
  <si>
    <t>I hereby declare the statements above to be true and correct．</t>
  </si>
  <si>
    <t>以上内容属实。</t>
  </si>
  <si>
    <t>Signature</t>
    <phoneticPr fontId="6" type="noConversion"/>
  </si>
  <si>
    <t>【Unable to save】 Please enter the required information</t>
  </si>
  <si>
    <t>注意：表格不能保存的应该是有尚未填写的项目</t>
  </si>
  <si>
    <t>SpoonsorFamily</t>
    <phoneticPr fontId="6" type="noConversion"/>
  </si>
  <si>
    <t>経費支弁者家族一覧</t>
    <rPh sb="0" eb="2">
      <t>ｹｲﾋ</t>
    </rPh>
    <rPh sb="2" eb="5">
      <t>ｼﾍﾞﾝｼｬ</t>
    </rPh>
    <rPh sb="5" eb="7">
      <t>ｶｿﾞｸ</t>
    </rPh>
    <rPh sb="7" eb="9">
      <t>ｲﾁﾗﾝ</t>
    </rPh>
    <phoneticPr fontId="6" type="noConversion"/>
  </si>
  <si>
    <t>Sponsor's family</t>
    <phoneticPr fontId="6" type="noConversion"/>
  </si>
  <si>
    <t>经费支付人家庭成员</t>
    <phoneticPr fontId="6" type="noConversion"/>
  </si>
  <si>
    <t>経費支弁者、配偶者、子供（同居・別居）、その他同居人を記入します</t>
    <phoneticPr fontId="6" type="noConversion"/>
  </si>
  <si>
    <t>Please fill out about your financial supporters, spouse, children(living with and not living with), relatives or friends who live together.</t>
    <phoneticPr fontId="6" type="noConversion"/>
  </si>
  <si>
    <t xml:space="preserve">请填写经费支付人，配偶，子女（同住・不同住），其他同居者的信息
</t>
    <phoneticPr fontId="6" type="noConversion"/>
  </si>
  <si>
    <t>支弁者との関係</t>
    <rPh sb="0" eb="2">
      <t>ｼﾍﾞﾝ</t>
    </rPh>
    <rPh sb="2" eb="3">
      <t>ｼｬ</t>
    </rPh>
    <rPh sb="5" eb="7">
      <t>ｶﾝｹｲ</t>
    </rPh>
    <phoneticPr fontId="6" type="noConversion"/>
  </si>
  <si>
    <r>
      <t>Relationship</t>
    </r>
    <r>
      <rPr>
        <sz val="11"/>
        <rFont val="ＭＳ Ｐゴシック"/>
        <family val="3"/>
        <charset val="128"/>
      </rPr>
      <t xml:space="preserve"> [with S</t>
    </r>
    <r>
      <rPr>
        <sz val="11"/>
        <rFont val="Arial Unicode MS"/>
        <family val="3"/>
        <charset val="134"/>
      </rPr>
      <t>ponsor</t>
    </r>
    <r>
      <rPr>
        <sz val="11"/>
        <rFont val="ＭＳ Ｐゴシック"/>
        <family val="3"/>
        <charset val="128"/>
      </rPr>
      <t>]</t>
    </r>
    <phoneticPr fontId="6" type="noConversion"/>
  </si>
  <si>
    <t>与支付人的关系</t>
    <phoneticPr fontId="6" type="noConversion"/>
  </si>
  <si>
    <t>出願者との関係</t>
    <rPh sb="0" eb="3">
      <t>ｼｭﾂｶﾞﾝｼｬ</t>
    </rPh>
    <rPh sb="5" eb="7">
      <t>ｶﾝｹｲ</t>
    </rPh>
    <phoneticPr fontId="6" type="noConversion"/>
  </si>
  <si>
    <r>
      <t>Relationship</t>
    </r>
    <r>
      <rPr>
        <sz val="11"/>
        <rFont val="ＭＳ Ｐゴシック"/>
        <family val="3"/>
        <charset val="128"/>
      </rPr>
      <t xml:space="preserve"> [with Applicant]</t>
    </r>
    <phoneticPr fontId="6" type="noConversion"/>
  </si>
  <si>
    <t>与学生的关系</t>
    <phoneticPr fontId="6" type="noConversion"/>
  </si>
  <si>
    <t>申請者</t>
    <phoneticPr fontId="6" type="noConversion"/>
  </si>
  <si>
    <t>Applicants</t>
    <phoneticPr fontId="6" type="noConversion"/>
  </si>
  <si>
    <t>申请者</t>
    <phoneticPr fontId="6" type="noConversion"/>
  </si>
  <si>
    <t>支弁者本人</t>
    <rPh sb="0" eb="2">
      <t>ｼﾍﾞﾝ</t>
    </rPh>
    <rPh sb="2" eb="3">
      <t>ｼｬ</t>
    </rPh>
    <rPh sb="3" eb="5">
      <t>ﾎﾝﾆﾝ</t>
    </rPh>
    <phoneticPr fontId="6" type="noConversion"/>
  </si>
  <si>
    <t>支付人本人</t>
    <phoneticPr fontId="6" type="noConversion"/>
  </si>
  <si>
    <t>配偶者</t>
    <rPh sb="0" eb="3">
      <t>ﾊｲｸﾞｳｼｬ</t>
    </rPh>
    <phoneticPr fontId="6" type="noConversion"/>
  </si>
  <si>
    <t>spouse</t>
    <phoneticPr fontId="6" type="noConversion"/>
  </si>
  <si>
    <t>配偶</t>
    <phoneticPr fontId="6" type="noConversion"/>
  </si>
  <si>
    <t>年齢</t>
    <rPh sb="0" eb="2">
      <t>ﾈﾝﾚｲ</t>
    </rPh>
    <phoneticPr fontId="6" type="noConversion"/>
  </si>
  <si>
    <t>age</t>
    <phoneticPr fontId="6" type="noConversion"/>
  </si>
  <si>
    <t>年龄</t>
    <phoneticPr fontId="6" type="noConversion"/>
  </si>
  <si>
    <t>年</t>
    <rPh sb="0" eb="1">
      <t>ﾄｼ</t>
    </rPh>
    <phoneticPr fontId="6" type="noConversion"/>
  </si>
  <si>
    <t>Y</t>
    <phoneticPr fontId="6" type="noConversion"/>
  </si>
  <si>
    <t>年</t>
    <rPh sb="0" eb="1">
      <t>ﾈﾝ</t>
    </rPh>
    <phoneticPr fontId="6" type="noConversion"/>
  </si>
  <si>
    <t>月</t>
    <rPh sb="0" eb="1">
      <t>ﾂｷ</t>
    </rPh>
    <phoneticPr fontId="6" type="noConversion"/>
  </si>
  <si>
    <t>M</t>
    <phoneticPr fontId="6" type="noConversion"/>
  </si>
  <si>
    <t>日</t>
    <rPh sb="0" eb="1">
      <t>ﾆﾁ</t>
    </rPh>
    <phoneticPr fontId="6" type="noConversion"/>
  </si>
  <si>
    <t>D</t>
    <phoneticPr fontId="6" type="noConversion"/>
  </si>
  <si>
    <t>家族</t>
    <phoneticPr fontId="6" type="noConversion"/>
  </si>
  <si>
    <t>Family</t>
    <phoneticPr fontId="6" type="noConversion"/>
  </si>
  <si>
    <t>家族</t>
    <rPh sb="0" eb="2">
      <t>ｶｿﾞｸ</t>
    </rPh>
    <phoneticPr fontId="6" type="noConversion"/>
  </si>
  <si>
    <t>Sname</t>
    <phoneticPr fontId="3"/>
  </si>
  <si>
    <t>2.学費</t>
    <rPh sb="2" eb="4">
      <t>ガクヒ</t>
    </rPh>
    <phoneticPr fontId="3"/>
  </si>
  <si>
    <t>3.4期制の許可</t>
    <rPh sb="3" eb="4">
      <t>キ</t>
    </rPh>
    <rPh sb="4" eb="5">
      <t>セイ</t>
    </rPh>
    <rPh sb="6" eb="8">
      <t>キョカ</t>
    </rPh>
    <phoneticPr fontId="3"/>
  </si>
  <si>
    <r>
      <t>Sheet</t>
    </r>
    <r>
      <rPr>
        <sz val="11"/>
        <rFont val="ＭＳ Ｐゴシック"/>
        <family val="3"/>
        <charset val="128"/>
      </rPr>
      <t>/箇所</t>
    </r>
    <rPh sb="6" eb="8">
      <t>カショ</t>
    </rPh>
    <phoneticPr fontId="3"/>
  </si>
  <si>
    <r>
      <t xml:space="preserve">Expenses
</t>
    </r>
    <r>
      <rPr>
        <sz val="11"/>
        <rFont val="ＭＳ Ｐゴシック"/>
        <family val="3"/>
        <charset val="128"/>
      </rPr>
      <t>支弁経緯</t>
    </r>
    <rPh sb="9" eb="11">
      <t>シベン</t>
    </rPh>
    <rPh sb="11" eb="13">
      <t>ケイイ</t>
    </rPh>
    <phoneticPr fontId="3"/>
  </si>
  <si>
    <r>
      <t>E</t>
    </r>
    <r>
      <rPr>
        <sz val="11"/>
        <rFont val="Yu Gothic"/>
        <family val="3"/>
        <charset val="128"/>
      </rPr>
      <t>10</t>
    </r>
    <phoneticPr fontId="3"/>
  </si>
  <si>
    <t>我是申请人的家长，此次孩子想赴日留学，作为家长有义务全力以赴帮助孩子完成梦想，我有足够的收入和存款，能够保证支付孩子留学期间的所有费用，希望孩子能认真学习有一个好的将来。</t>
    <phoneticPr fontId="3"/>
  </si>
  <si>
    <t>Expenses
支弁方法</t>
    <rPh sb="9" eb="11">
      <t>シベン</t>
    </rPh>
    <rPh sb="11" eb="13">
      <t>ホウホウ</t>
    </rPh>
    <phoneticPr fontId="3"/>
  </si>
  <si>
    <t>E20</t>
    <phoneticPr fontId="3"/>
  </si>
  <si>
    <t>第一年的学费会通过银行汇款到学校指定账户，前期生活费会让孩子赴日时随身携带，之后，也会定期汇款到孩子名义的账户中。</t>
    <phoneticPr fontId="3"/>
  </si>
  <si>
    <t>System</t>
    <phoneticPr fontId="6" type="noConversion"/>
  </si>
  <si>
    <t>注意：未記入の項目があります</t>
    <rPh sb="0" eb="2">
      <t>ﾁｭｳｲ</t>
    </rPh>
    <rPh sb="3" eb="6">
      <t>ﾐｷﾆｭｳ</t>
    </rPh>
    <rPh sb="7" eb="9">
      <t>ｺｳﾓｸ</t>
    </rPh>
    <phoneticPr fontId="6" type="noConversion"/>
  </si>
  <si>
    <t>【Unable to save】 Please enter the required information</t>
    <phoneticPr fontId="3"/>
  </si>
  <si>
    <t>注意：表格不能保存的应该是有尚未填写的项目</t>
    <phoneticPr fontId="6" type="noConversion"/>
  </si>
  <si>
    <t>関係</t>
    <rPh sb="0" eb="2">
      <t>ｶﾝｹｲ</t>
    </rPh>
    <phoneticPr fontId="6" type="noConversion"/>
  </si>
  <si>
    <t>戸籍</t>
    <rPh sb="0" eb="2">
      <t>ｺｾｷ</t>
    </rPh>
    <phoneticPr fontId="6" type="noConversion"/>
  </si>
  <si>
    <t>東京学士学院</t>
  </si>
  <si>
    <t>入学願書</t>
    <phoneticPr fontId="6" type="noConversion"/>
  </si>
  <si>
    <t>APPLICATION FOR ADMISSION</t>
    <phoneticPr fontId="3"/>
  </si>
  <si>
    <t>入学願書</t>
    <phoneticPr fontId="3"/>
  </si>
  <si>
    <t>Ver9.1-20210916</t>
    <phoneticPr fontId="6" type="noConversion"/>
  </si>
  <si>
    <t>Tokyo Bachelor College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</si>
</sst>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yyyy&quot;年&quot;m&quot;月&quot;;@"/>
    <numFmt numFmtId="178" formatCode="[$-F800]dddd\,\ mmmm\ dd\,\ yyyy"/>
    <numFmt numFmtId="179" formatCode="0_);[Red]\(0\)"/>
    <numFmt numFmtId="180" formatCode="0_ ;;"/>
  </numFmts>
  <fonts count="43">
    <font>
      <sz val="11"/>
      <name val="ＭＳ Ｐゴシック"/>
      <family val="3"/>
      <charset val="134"/>
    </font>
    <font>
      <sz val="11"/>
      <name val="ＭＳ Ｐゴシック"/>
      <family val="3"/>
      <charset val="134"/>
    </font>
    <font>
      <sz val="12"/>
      <name val="Arial Unicode MS"/>
      <family val="3"/>
      <charset val="134"/>
    </font>
    <font>
      <sz val="6"/>
      <name val="ＭＳ Ｐゴシック"/>
      <family val="3"/>
      <charset val="128"/>
    </font>
    <font>
      <sz val="10"/>
      <name val="Arial Unicode MS"/>
      <family val="3"/>
      <charset val="134"/>
    </font>
    <font>
      <sz val="10"/>
      <name val="ＭＳ Ｐゴシック"/>
      <family val="3"/>
      <charset val="128"/>
    </font>
    <font>
      <sz val="9"/>
      <name val="ＭＳ Ｐゴシック"/>
      <family val="3"/>
      <charset val="134"/>
    </font>
    <font>
      <sz val="10"/>
      <name val="Arial Unicode MS"/>
      <family val="3"/>
      <charset val="128"/>
    </font>
    <font>
      <sz val="6"/>
      <name val="Arial Unicode MS"/>
      <family val="3"/>
      <charset val="134"/>
    </font>
    <font>
      <sz val="22"/>
      <name val="Arial Unicode MS"/>
      <family val="3"/>
      <charset val="134"/>
    </font>
    <font>
      <sz val="11"/>
      <color indexed="10"/>
      <name val="Arial Unicode MS"/>
      <family val="3"/>
      <charset val="134"/>
    </font>
    <font>
      <sz val="13"/>
      <name val="Arial Unicode MS"/>
      <family val="3"/>
      <charset val="134"/>
    </font>
    <font>
      <sz val="8"/>
      <name val="Arial Unicode MS"/>
      <family val="3"/>
      <charset val="134"/>
    </font>
    <font>
      <sz val="11"/>
      <name val="Arial Unicode MS"/>
      <family val="3"/>
      <charset val="134"/>
    </font>
    <font>
      <sz val="10"/>
      <name val="Arial Unicode MS"/>
      <family val="3"/>
    </font>
    <font>
      <sz val="10"/>
      <color rgb="FFFF0000"/>
      <name val="Arial Unicode MS"/>
      <family val="3"/>
      <charset val="134"/>
    </font>
    <font>
      <b/>
      <sz val="10"/>
      <color rgb="FFFF0000"/>
      <name val="Arial Unicode MS"/>
      <family val="3"/>
      <charset val="134"/>
    </font>
    <font>
      <b/>
      <sz val="8"/>
      <color rgb="FFFF0000"/>
      <name val="Arial Unicode MS"/>
      <family val="3"/>
      <charset val="134"/>
    </font>
    <font>
      <sz val="10"/>
      <name val="Yu Gothic"/>
      <family val="3"/>
      <charset val="128"/>
    </font>
    <font>
      <b/>
      <sz val="10"/>
      <color rgb="FFFF0000"/>
      <name val="Arial Unicode MS"/>
      <family val="3"/>
      <charset val="128"/>
    </font>
    <font>
      <sz val="8"/>
      <color rgb="FFFF0000"/>
      <name val="Arial Unicode MS"/>
      <family val="3"/>
      <charset val="134"/>
    </font>
    <font>
      <sz val="10"/>
      <name val="游ゴシック"/>
      <family val="3"/>
      <charset val="128"/>
    </font>
    <font>
      <b/>
      <sz val="10"/>
      <name val="Arial Unicode MS"/>
      <family val="3"/>
      <charset val="134"/>
    </font>
    <font>
      <b/>
      <sz val="10"/>
      <name val="Arial Unicode MS"/>
      <family val="3"/>
      <charset val="128"/>
    </font>
    <font>
      <sz val="9"/>
      <name val="Arial Unicode MS"/>
      <family val="3"/>
      <charset val="134"/>
    </font>
    <font>
      <sz val="14"/>
      <name val="Arial Unicode MS"/>
      <family val="3"/>
      <charset val="134"/>
    </font>
    <font>
      <sz val="7"/>
      <name val="Arial Unicode MS"/>
      <family val="3"/>
      <charset val="134"/>
    </font>
    <font>
      <sz val="10"/>
      <color indexed="62"/>
      <name val="Arial Unicode MS"/>
      <family val="3"/>
      <charset val="134"/>
    </font>
    <font>
      <sz val="12"/>
      <color indexed="62"/>
      <name val="Arial Unicode MS"/>
      <family val="3"/>
      <charset val="134"/>
    </font>
    <font>
      <sz val="10"/>
      <color indexed="10"/>
      <name val="Arial Unicode MS"/>
      <family val="3"/>
      <charset val="134"/>
    </font>
    <font>
      <sz val="8"/>
      <color indexed="10"/>
      <name val="Arial Unicode MS"/>
      <family val="3"/>
      <charset val="134"/>
    </font>
    <font>
      <sz val="20"/>
      <color rgb="FFFF0000"/>
      <name val="Arial Unicode MS"/>
      <family val="3"/>
      <charset val="134"/>
    </font>
    <font>
      <sz val="10"/>
      <color indexed="8"/>
      <name val="Arial Unicode MS"/>
      <family val="3"/>
      <charset val="134"/>
    </font>
    <font>
      <sz val="11"/>
      <name val="宋体"/>
      <family val="3"/>
      <charset val="128"/>
    </font>
    <font>
      <sz val="11"/>
      <name val="宋体"/>
      <family val="3"/>
      <charset val="134"/>
    </font>
    <font>
      <sz val="12"/>
      <name val="SimSun"/>
      <charset val="134"/>
    </font>
    <font>
      <sz val="11"/>
      <name val="SimSun"/>
      <charset val="134"/>
    </font>
    <font>
      <sz val="11"/>
      <name val="ＭＳ Ｐゴシック"/>
      <family val="3"/>
      <charset val="128"/>
    </font>
    <font>
      <sz val="11"/>
      <name val="游ゴシック"/>
      <family val="3"/>
      <charset val="128"/>
    </font>
    <font>
      <sz val="11"/>
      <name val="Arial Unicode MS"/>
      <family val="3"/>
      <charset val="128"/>
    </font>
    <font>
      <sz val="11"/>
      <name val="Yu Gothic"/>
      <family val="3"/>
      <charset val="128"/>
    </font>
    <font>
      <sz val="11"/>
      <name val="MS PGothic"/>
      <family val="2"/>
      <charset val="128"/>
    </font>
    <font>
      <sz val="10"/>
      <name val="宋体"/>
      <family val="3"/>
      <charset val="134"/>
    </font>
  </fonts>
  <fills count="9">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rgb="FFCCFFFF"/>
        <bgColor indexed="64"/>
      </patternFill>
    </fill>
    <fill>
      <patternFill patternType="solid">
        <fgColor rgb="FFFFC000"/>
        <bgColor indexed="64"/>
      </patternFill>
    </fill>
    <fill>
      <patternFill patternType="solid">
        <fgColor rgb="FFCCFEFE"/>
        <bgColor indexed="64"/>
      </patternFill>
    </fill>
    <fill>
      <patternFill patternType="solid">
        <fgColor indexed="13"/>
        <bgColor indexed="64"/>
      </patternFill>
    </fill>
    <fill>
      <patternFill patternType="solid">
        <fgColor indexed="22"/>
        <bgColor indexed="64"/>
      </patternFill>
    </fill>
  </fills>
  <borders count="50">
    <border>
      <left/>
      <right/>
      <top/>
      <bottom/>
      <diagonal/>
    </border>
    <border>
      <left/>
      <right/>
      <top/>
      <bottom style="hair">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hair">
        <color indexed="22"/>
      </top>
      <bottom/>
      <diagonal/>
    </border>
    <border>
      <left/>
      <right/>
      <top style="hair">
        <color indexed="22"/>
      </top>
      <bottom style="hair">
        <color indexed="22"/>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hair">
        <color theme="0" tint="-0.24994659260841701"/>
      </bottom>
      <diagonal/>
    </border>
    <border>
      <left/>
      <right/>
      <top style="hair">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theme="0" tint="-0.14996795556505021"/>
      </top>
      <bottom/>
      <diagonal/>
    </border>
    <border>
      <left/>
      <right/>
      <top style="hair">
        <color theme="0" tint="-0.24994659260841701"/>
      </top>
      <bottom/>
      <diagonal/>
    </border>
    <border>
      <left style="hair">
        <color theme="0" tint="-0.24994659260841701"/>
      </left>
      <right/>
      <top/>
      <bottom/>
      <diagonal/>
    </border>
    <border>
      <left/>
      <right style="hair">
        <color theme="0" tint="-0.24994659260841701"/>
      </right>
      <top/>
      <bottom style="thin">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theme="0" tint="-0.24994659260841701"/>
      </top>
      <bottom/>
      <diagonal/>
    </border>
  </borders>
  <cellStyleXfs count="2">
    <xf numFmtId="0" fontId="0" fillId="0" borderId="0"/>
    <xf numFmtId="38" fontId="1" fillId="0" borderId="0" applyFont="0" applyFill="0" applyBorder="0" applyAlignment="0" applyProtection="0">
      <alignment vertical="center"/>
    </xf>
  </cellStyleXfs>
  <cellXfs count="366">
    <xf numFmtId="0" fontId="0" fillId="0" borderId="0" xfId="0"/>
    <xf numFmtId="0" fontId="2"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0" fontId="4" fillId="0" borderId="0" xfId="0" applyFont="1" applyAlignment="1">
      <alignment horizontal="right" vertical="center" shrinkToFit="1"/>
    </xf>
    <xf numFmtId="0" fontId="7" fillId="0" borderId="0" xfId="0" applyFont="1" applyAlignment="1">
      <alignment vertical="center" shrinkToFit="1"/>
    </xf>
    <xf numFmtId="0" fontId="8" fillId="0" borderId="0" xfId="0" applyFont="1" applyAlignment="1">
      <alignment horizontal="right" vertical="center" shrinkToFit="1"/>
    </xf>
    <xf numFmtId="0" fontId="1" fillId="2" borderId="2" xfId="0" applyFont="1" applyFill="1" applyBorder="1" applyAlignment="1">
      <alignment horizontal="right" vertical="center"/>
    </xf>
    <xf numFmtId="0" fontId="1" fillId="0" borderId="2" xfId="0" applyFont="1" applyBorder="1" applyAlignment="1">
      <alignment horizontal="right" vertical="center"/>
    </xf>
    <xf numFmtId="0" fontId="4" fillId="3" borderId="2" xfId="0" applyFont="1" applyFill="1" applyBorder="1" applyAlignment="1" applyProtection="1">
      <alignment horizontal="center" vertical="center" shrinkToFit="1"/>
      <protection locked="0"/>
    </xf>
    <xf numFmtId="0" fontId="2" fillId="0" borderId="3" xfId="0" applyFont="1" applyBorder="1" applyAlignment="1">
      <alignment horizontal="left" vertical="center" shrinkToFit="1"/>
    </xf>
    <xf numFmtId="0" fontId="4" fillId="0" borderId="2" xfId="0" applyFont="1" applyBorder="1" applyAlignment="1">
      <alignment vertical="center" shrinkToFit="1"/>
    </xf>
    <xf numFmtId="0" fontId="11" fillId="0" borderId="0" xfId="0" applyFont="1" applyAlignment="1">
      <alignment horizontal="right" vertical="center" shrinkToFit="1"/>
    </xf>
    <xf numFmtId="0" fontId="11" fillId="0" borderId="0" xfId="0" applyFont="1" applyAlignment="1">
      <alignment vertical="center" shrinkToFit="1"/>
    </xf>
    <xf numFmtId="0" fontId="12" fillId="0" borderId="0" xfId="0" applyFont="1" applyAlignment="1">
      <alignment vertical="center" shrinkToFit="1"/>
    </xf>
    <xf numFmtId="0" fontId="1" fillId="0" borderId="0" xfId="0" applyFont="1"/>
    <xf numFmtId="0" fontId="13" fillId="0" borderId="0" xfId="0" applyFont="1" applyAlignment="1">
      <alignment vertical="center" shrinkToFit="1"/>
    </xf>
    <xf numFmtId="0" fontId="14" fillId="0" borderId="2" xfId="0" applyFont="1" applyBorder="1" applyAlignment="1">
      <alignment vertical="center" shrinkToFit="1"/>
    </xf>
    <xf numFmtId="0" fontId="4" fillId="0" borderId="1" xfId="0" applyFont="1" applyBorder="1" applyAlignment="1">
      <alignment vertical="center" shrinkToFit="1"/>
    </xf>
    <xf numFmtId="0" fontId="4" fillId="0" borderId="0" xfId="0" applyFont="1" applyAlignment="1">
      <alignment horizontal="left" vertical="center" shrinkToFit="1"/>
    </xf>
    <xf numFmtId="0" fontId="7" fillId="0" borderId="2" xfId="0" applyFont="1" applyBorder="1" applyAlignment="1">
      <alignment vertical="center" shrinkToFit="1"/>
    </xf>
    <xf numFmtId="0" fontId="12" fillId="0" borderId="0" xfId="0" applyFont="1" applyAlignment="1">
      <alignment horizontal="right" vertical="center" shrinkToFit="1"/>
    </xf>
    <xf numFmtId="0" fontId="12" fillId="0" borderId="0" xfId="0" applyFont="1" applyAlignment="1">
      <alignment horizontal="center" vertical="center" shrinkToFit="1"/>
    </xf>
    <xf numFmtId="0" fontId="13" fillId="0" borderId="0" xfId="0" applyFont="1" applyAlignment="1">
      <alignment shrinkToFit="1"/>
    </xf>
    <xf numFmtId="0" fontId="7" fillId="0" borderId="2" xfId="0" applyFont="1" applyBorder="1" applyAlignment="1">
      <alignment shrinkToFit="1"/>
    </xf>
    <xf numFmtId="0" fontId="12" fillId="0" borderId="0" xfId="0" applyFont="1" applyAlignment="1">
      <alignment horizontal="lef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top" shrinkToFit="1"/>
    </xf>
    <xf numFmtId="0" fontId="13" fillId="0" borderId="2" xfId="0" applyFont="1" applyBorder="1" applyAlignment="1">
      <alignment shrinkToFit="1"/>
    </xf>
    <xf numFmtId="0" fontId="15" fillId="0" borderId="0" xfId="0" applyFont="1" applyAlignment="1">
      <alignment vertical="center" shrinkToFit="1"/>
    </xf>
    <xf numFmtId="0" fontId="19" fillId="0" borderId="0" xfId="0" applyFont="1" applyAlignment="1">
      <alignment horizontal="center" vertical="center" shrinkToFit="1"/>
    </xf>
    <xf numFmtId="0" fontId="15" fillId="0" borderId="0" xfId="0" applyFont="1" applyAlignment="1">
      <alignment horizontal="left" vertical="center" shrinkToFit="1"/>
    </xf>
    <xf numFmtId="0" fontId="12" fillId="0" borderId="0" xfId="0" applyFont="1" applyAlignment="1">
      <alignment horizontal="center" vertical="top" shrinkToFit="1"/>
    </xf>
    <xf numFmtId="0" fontId="19" fillId="3" borderId="1" xfId="0" applyFont="1" applyFill="1" applyBorder="1" applyAlignment="1" applyProtection="1">
      <alignment horizontal="center" vertical="center" shrinkToFit="1"/>
      <protection locked="0"/>
    </xf>
    <xf numFmtId="0" fontId="4" fillId="0" borderId="0" xfId="0" applyFont="1" applyAlignment="1">
      <alignment vertical="center" wrapText="1"/>
    </xf>
    <xf numFmtId="0" fontId="15" fillId="0" borderId="0" xfId="0" applyFont="1" applyAlignment="1">
      <alignment vertical="top" shrinkToFit="1"/>
    </xf>
    <xf numFmtId="0" fontId="7" fillId="0" borderId="0" xfId="0" applyFont="1" applyAlignment="1">
      <alignment horizontal="left" vertical="center" shrinkToFit="1"/>
    </xf>
    <xf numFmtId="176" fontId="21" fillId="3" borderId="3" xfId="0" applyNumberFormat="1" applyFont="1" applyFill="1" applyBorder="1" applyAlignment="1" applyProtection="1">
      <alignment horizontal="left" vertical="center" indent="1" shrinkToFit="1"/>
      <protection locked="0"/>
    </xf>
    <xf numFmtId="0" fontId="22" fillId="0" borderId="0" xfId="0" applyFont="1" applyAlignment="1">
      <alignment horizontal="left" vertical="center" shrinkToFit="1"/>
    </xf>
    <xf numFmtId="176" fontId="4" fillId="3" borderId="3" xfId="0" applyNumberFormat="1" applyFont="1" applyFill="1" applyBorder="1" applyAlignment="1" applyProtection="1">
      <alignment horizontal="left" vertical="center" indent="1" shrinkToFit="1"/>
      <protection locked="0"/>
    </xf>
    <xf numFmtId="0" fontId="22" fillId="0" borderId="0" xfId="0" applyFont="1" applyAlignment="1">
      <alignment vertical="center" shrinkToFit="1"/>
    </xf>
    <xf numFmtId="0" fontId="22" fillId="0" borderId="0" xfId="0" applyFont="1" applyAlignment="1">
      <alignment horizontal="right" vertical="center" shrinkToFit="1"/>
    </xf>
    <xf numFmtId="0" fontId="4" fillId="0" borderId="1" xfId="0" applyFont="1" applyBorder="1" applyAlignment="1">
      <alignment horizontal="center" vertical="center" shrinkToFit="1"/>
    </xf>
    <xf numFmtId="176" fontId="4" fillId="0" borderId="0" xfId="0" applyNumberFormat="1" applyFont="1" applyAlignment="1">
      <alignment horizontal="right" vertical="center" shrinkToFit="1"/>
    </xf>
    <xf numFmtId="0" fontId="23" fillId="5" borderId="3" xfId="0" applyFont="1" applyFill="1" applyBorder="1" applyAlignment="1">
      <alignment horizontal="center" vertical="center" shrinkToFit="1"/>
    </xf>
    <xf numFmtId="0" fontId="4" fillId="5" borderId="3" xfId="0" applyFont="1" applyFill="1" applyBorder="1" applyAlignment="1">
      <alignment horizontal="left" vertical="center" shrinkToFit="1"/>
    </xf>
    <xf numFmtId="177" fontId="4" fillId="5" borderId="3" xfId="0" applyNumberFormat="1" applyFont="1" applyFill="1" applyBorder="1" applyAlignment="1">
      <alignment horizontal="left" vertical="center" shrinkToFit="1"/>
    </xf>
    <xf numFmtId="177" fontId="4" fillId="0" borderId="2" xfId="0" applyNumberFormat="1" applyFont="1" applyBorder="1" applyAlignment="1">
      <alignment vertical="center" shrinkToFit="1"/>
    </xf>
    <xf numFmtId="0" fontId="4" fillId="3" borderId="1" xfId="0" applyFont="1" applyFill="1" applyBorder="1" applyAlignment="1" applyProtection="1">
      <alignment horizontal="center" vertical="center" shrinkToFit="1"/>
      <protection locked="0"/>
    </xf>
    <xf numFmtId="0" fontId="22" fillId="5" borderId="10" xfId="0" applyFont="1" applyFill="1" applyBorder="1" applyAlignment="1">
      <alignment horizontal="center" vertical="center" shrinkToFit="1"/>
    </xf>
    <xf numFmtId="0" fontId="24" fillId="0" borderId="0" xfId="0" applyFont="1" applyAlignment="1">
      <alignment horizontal="right" vertical="center" shrinkToFit="1"/>
    </xf>
    <xf numFmtId="176" fontId="14" fillId="0" borderId="2" xfId="0" applyNumberFormat="1" applyFont="1" applyBorder="1" applyAlignment="1">
      <alignment vertical="center" shrinkToFit="1"/>
    </xf>
    <xf numFmtId="176" fontId="5" fillId="3" borderId="3" xfId="0" applyNumberFormat="1" applyFont="1" applyFill="1" applyBorder="1" applyAlignment="1" applyProtection="1">
      <alignment horizontal="left" vertical="center" indent="1" shrinkToFit="1"/>
      <protection locked="0"/>
    </xf>
    <xf numFmtId="178" fontId="4" fillId="0" borderId="0" xfId="0" applyNumberFormat="1" applyFont="1" applyAlignment="1">
      <alignment vertical="center" shrinkToFit="1"/>
    </xf>
    <xf numFmtId="0" fontId="4" fillId="0" borderId="13" xfId="0" applyFont="1" applyBorder="1" applyAlignment="1">
      <alignment horizontal="right" vertical="center" shrinkToFit="1"/>
    </xf>
    <xf numFmtId="0" fontId="4" fillId="0" borderId="13" xfId="0" applyFont="1" applyBorder="1" applyAlignment="1">
      <alignment vertical="center" shrinkToFit="1"/>
    </xf>
    <xf numFmtId="0" fontId="4" fillId="3" borderId="2" xfId="0" applyFont="1" applyFill="1" applyBorder="1" applyAlignment="1">
      <alignment horizontal="center" vertical="center" shrinkToFit="1"/>
    </xf>
    <xf numFmtId="0" fontId="2" fillId="0" borderId="0" xfId="0" applyFont="1" applyAlignment="1">
      <alignment horizontal="center" vertical="center" shrinkToFit="1"/>
    </xf>
    <xf numFmtId="0" fontId="25" fillId="0" borderId="0" xfId="0" applyFont="1" applyAlignment="1">
      <alignment horizontal="center" vertical="center" shrinkToFit="1"/>
    </xf>
    <xf numFmtId="0" fontId="4" fillId="0" borderId="2" xfId="0" applyFont="1" applyBorder="1" applyAlignment="1">
      <alignment horizontal="center" vertical="center" shrinkToFit="1"/>
    </xf>
    <xf numFmtId="0" fontId="4" fillId="0" borderId="0" xfId="0" quotePrefix="1" applyFont="1" applyAlignment="1">
      <alignment horizontal="right" vertical="center" shrinkToFit="1"/>
    </xf>
    <xf numFmtId="0" fontId="4" fillId="0" borderId="1" xfId="0" quotePrefix="1" applyFont="1" applyBorder="1" applyAlignment="1">
      <alignment horizontal="righ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27" fillId="0" borderId="0" xfId="0" applyFont="1" applyAlignment="1">
      <alignment vertical="center" shrinkToFit="1"/>
    </xf>
    <xf numFmtId="0" fontId="27" fillId="0" borderId="0" xfId="0" applyFont="1" applyAlignment="1">
      <alignment horizontal="center" vertical="center" shrinkToFit="1"/>
    </xf>
    <xf numFmtId="0" fontId="4"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4" fillId="0" borderId="3" xfId="0" applyFont="1" applyBorder="1" applyAlignment="1">
      <alignment horizontal="left" vertical="center" shrinkToFit="1"/>
    </xf>
    <xf numFmtId="0" fontId="12" fillId="0" borderId="3" xfId="0" applyFont="1" applyBorder="1" applyAlignment="1">
      <alignment vertical="center" shrinkToFit="1"/>
    </xf>
    <xf numFmtId="49" fontId="4" fillId="0" borderId="40"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3" borderId="17" xfId="0" applyNumberFormat="1" applyFont="1" applyFill="1" applyBorder="1" applyAlignment="1">
      <alignment horizontal="center" vertical="center" shrinkToFit="1"/>
    </xf>
    <xf numFmtId="49" fontId="4" fillId="3" borderId="22" xfId="0" applyNumberFormat="1" applyFont="1" applyFill="1" applyBorder="1" applyAlignment="1">
      <alignment horizontal="center" vertical="center" shrinkToFit="1"/>
    </xf>
    <xf numFmtId="0" fontId="12" fillId="0" borderId="23" xfId="0" applyFont="1" applyBorder="1" applyAlignment="1">
      <alignment horizontal="center" vertical="center" shrinkToFit="1"/>
    </xf>
    <xf numFmtId="0" fontId="12" fillId="0" borderId="25" xfId="0" applyFont="1" applyBorder="1" applyAlignment="1">
      <alignment horizontal="center" vertical="center" shrinkToFit="1"/>
    </xf>
    <xf numFmtId="0" fontId="12" fillId="3" borderId="28" xfId="0" applyFont="1" applyFill="1" applyBorder="1" applyAlignment="1" applyProtection="1">
      <alignment horizontal="center" vertical="center" shrinkToFit="1"/>
      <protection locked="0"/>
    </xf>
    <xf numFmtId="0" fontId="12" fillId="3" borderId="30" xfId="0" applyFont="1" applyFill="1" applyBorder="1" applyAlignment="1" applyProtection="1">
      <alignment horizontal="center" vertical="center" shrinkToFit="1"/>
      <protection locked="0"/>
    </xf>
    <xf numFmtId="0" fontId="4" fillId="0" borderId="49" xfId="0" applyFont="1" applyBorder="1" applyAlignment="1">
      <alignment vertical="center" shrinkToFit="1"/>
    </xf>
    <xf numFmtId="0" fontId="33" fillId="8" borderId="2" xfId="0" applyFont="1" applyFill="1" applyBorder="1" applyAlignment="1">
      <alignment horizontal="center" vertical="center" shrinkToFit="1"/>
    </xf>
    <xf numFmtId="0" fontId="34" fillId="8" borderId="2" xfId="0" applyFont="1" applyFill="1" applyBorder="1" applyAlignment="1">
      <alignment horizontal="center" vertical="center" shrinkToFit="1"/>
    </xf>
    <xf numFmtId="0" fontId="35" fillId="8" borderId="2" xfId="0" applyFont="1" applyFill="1" applyBorder="1" applyAlignment="1">
      <alignment horizontal="center" vertical="center" shrinkToFit="1"/>
    </xf>
    <xf numFmtId="0" fontId="36" fillId="8" borderId="2" xfId="0" applyFont="1" applyFill="1" applyBorder="1" applyAlignment="1">
      <alignment horizontal="center" vertical="center" shrinkToFit="1"/>
    </xf>
    <xf numFmtId="177" fontId="35" fillId="8"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14" fontId="0" fillId="0" borderId="2" xfId="0" applyNumberFormat="1" applyBorder="1" applyAlignment="1">
      <alignment horizontal="center" vertical="center" shrinkToFit="1"/>
    </xf>
    <xf numFmtId="0" fontId="0" fillId="3" borderId="2" xfId="0" applyFill="1" applyBorder="1" applyAlignment="1" applyProtection="1">
      <alignment horizontal="center" vertical="center" shrinkToFit="1"/>
      <protection locked="0"/>
    </xf>
    <xf numFmtId="177" fontId="0" fillId="0" borderId="2" xfId="0" applyNumberFormat="1" applyBorder="1" applyAlignment="1">
      <alignment horizontal="center" vertical="center" shrinkToFit="1"/>
    </xf>
    <xf numFmtId="0" fontId="0" fillId="0" borderId="0" xfId="0" applyAlignment="1">
      <alignment vertical="center" shrinkToFit="1"/>
    </xf>
    <xf numFmtId="0" fontId="0" fillId="0" borderId="0" xfId="0" applyProtection="1">
      <protection locked="0"/>
    </xf>
    <xf numFmtId="0" fontId="13" fillId="7" borderId="2" xfId="0" applyFont="1" applyFill="1" applyBorder="1" applyAlignment="1">
      <alignment horizontal="center" vertical="center"/>
    </xf>
    <xf numFmtId="0" fontId="13" fillId="7" borderId="2" xfId="0" applyFont="1" applyFill="1" applyBorder="1" applyAlignment="1">
      <alignment horizontal="center" vertical="center" wrapText="1"/>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right" vertical="center"/>
    </xf>
    <xf numFmtId="0" fontId="13" fillId="0" borderId="2" xfId="0" applyFont="1" applyBorder="1" applyAlignment="1">
      <alignment horizontal="left" vertical="center" wrapText="1"/>
    </xf>
    <xf numFmtId="0" fontId="13" fillId="0" borderId="0" xfId="0" applyFont="1" applyAlignment="1">
      <alignment vertical="center"/>
    </xf>
    <xf numFmtId="0" fontId="13" fillId="2" borderId="2" xfId="0" applyFont="1" applyFill="1" applyBorder="1" applyAlignment="1">
      <alignment horizontal="left" vertical="center" wrapText="1"/>
    </xf>
    <xf numFmtId="0" fontId="13" fillId="0" borderId="26" xfId="0" applyFont="1" applyBorder="1" applyAlignment="1">
      <alignment horizontal="left" vertical="center" wrapText="1"/>
    </xf>
    <xf numFmtId="0" fontId="38" fillId="0" borderId="2" xfId="0" applyFont="1" applyBorder="1" applyAlignment="1">
      <alignment horizontal="left" vertical="center" wrapText="1"/>
    </xf>
    <xf numFmtId="0" fontId="37" fillId="0" borderId="2" xfId="0" applyFont="1" applyBorder="1" applyAlignment="1">
      <alignment horizontal="left" vertical="center" wrapText="1"/>
    </xf>
    <xf numFmtId="0" fontId="39" fillId="0" borderId="2" xfId="0" applyFont="1" applyBorder="1" applyAlignment="1">
      <alignment horizontal="left" vertical="center" wrapText="1"/>
    </xf>
    <xf numFmtId="0" fontId="37" fillId="2" borderId="2" xfId="0" applyFont="1" applyFill="1" applyBorder="1" applyAlignment="1">
      <alignment horizontal="left" vertical="center" wrapText="1"/>
    </xf>
    <xf numFmtId="0" fontId="13" fillId="2" borderId="2" xfId="0" applyFont="1" applyFill="1" applyBorder="1" applyAlignment="1">
      <alignment horizontal="center" vertical="center"/>
    </xf>
    <xf numFmtId="0" fontId="13" fillId="2" borderId="2" xfId="0" applyFont="1" applyFill="1" applyBorder="1" applyAlignment="1">
      <alignment horizontal="right" vertical="center"/>
    </xf>
    <xf numFmtId="38" fontId="13" fillId="0" borderId="2" xfId="1" applyFont="1" applyBorder="1" applyAlignment="1">
      <alignment horizontal="center" vertical="center" wrapText="1"/>
    </xf>
    <xf numFmtId="0" fontId="13" fillId="0" borderId="2" xfId="0" applyFont="1" applyBorder="1" applyAlignment="1">
      <alignment horizontal="center" vertical="center" wrapText="1"/>
    </xf>
    <xf numFmtId="0" fontId="40" fillId="0" borderId="2" xfId="0" applyFont="1" applyBorder="1" applyAlignment="1">
      <alignment horizontal="right" vertical="center"/>
    </xf>
    <xf numFmtId="0" fontId="4" fillId="0" borderId="0" xfId="0" applyFont="1" applyAlignment="1">
      <alignment horizontal="center" vertical="center" shrinkToFit="1"/>
    </xf>
    <xf numFmtId="0" fontId="41" fillId="0" borderId="2" xfId="0" applyFont="1" applyBorder="1" applyAlignment="1">
      <alignment horizontal="left" vertical="center" wrapText="1"/>
    </xf>
    <xf numFmtId="0" fontId="2" fillId="0" borderId="1" xfId="0" applyFont="1" applyBorder="1" applyAlignment="1">
      <alignment horizontal="left" vertical="center" shrinkToFit="1"/>
    </xf>
    <xf numFmtId="0" fontId="2" fillId="0" borderId="1" xfId="0" applyFont="1" applyBorder="1" applyAlignment="1">
      <alignment horizontal="right" vertical="center" shrinkToFit="1"/>
    </xf>
    <xf numFmtId="0" fontId="9" fillId="0" borderId="0" xfId="0" applyFont="1" applyAlignment="1">
      <alignment horizontal="center" vertical="center" shrinkToFit="1"/>
    </xf>
    <xf numFmtId="0" fontId="2" fillId="0" borderId="0" xfId="0" applyFont="1" applyAlignment="1">
      <alignment horizontal="center" vertical="center" shrinkToFit="1"/>
    </xf>
    <xf numFmtId="0" fontId="10" fillId="0" borderId="3" xfId="0" applyFont="1" applyBorder="1" applyAlignment="1">
      <alignment horizontal="left" vertical="center" shrinkToFit="1"/>
    </xf>
    <xf numFmtId="0" fontId="4" fillId="3" borderId="0" xfId="0" applyFont="1" applyFill="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4" fillId="3" borderId="0" xfId="0" applyFont="1" applyFill="1" applyAlignment="1">
      <alignment horizontal="center" vertical="center" shrinkToFit="1"/>
    </xf>
    <xf numFmtId="0" fontId="4" fillId="3" borderId="1" xfId="0" applyFont="1" applyFill="1" applyBorder="1" applyAlignment="1">
      <alignment horizontal="center" vertical="center" shrinkToFit="1"/>
    </xf>
    <xf numFmtId="0" fontId="12" fillId="0" borderId="0" xfId="0" applyFont="1" applyAlignment="1">
      <alignment horizontal="left" vertical="center" shrinkToFit="1"/>
    </xf>
    <xf numFmtId="0" fontId="12" fillId="0" borderId="0" xfId="0" applyFont="1" applyAlignment="1">
      <alignment horizontal="center" vertical="center" shrinkToFit="1"/>
    </xf>
    <xf numFmtId="0" fontId="12" fillId="0" borderId="5" xfId="0" applyFont="1" applyBorder="1" applyAlignment="1">
      <alignment horizontal="center" vertical="center" shrinkToFit="1"/>
    </xf>
    <xf numFmtId="0" fontId="8" fillId="0" borderId="5" xfId="0" applyFont="1" applyBorder="1" applyAlignment="1">
      <alignment horizontal="left" vertical="top" shrinkToFit="1"/>
    </xf>
    <xf numFmtId="0" fontId="4" fillId="3" borderId="4" xfId="0" applyFont="1" applyFill="1" applyBorder="1" applyAlignment="1">
      <alignment horizontal="center" vertical="center" shrinkToFit="1"/>
    </xf>
    <xf numFmtId="0" fontId="4" fillId="0" borderId="1" xfId="0" applyFont="1" applyBorder="1" applyAlignment="1">
      <alignment horizontal="center" vertical="center" shrinkToFit="1"/>
    </xf>
    <xf numFmtId="0" fontId="16" fillId="0" borderId="0" xfId="0" applyFont="1" applyAlignment="1">
      <alignment horizontal="center" vertical="center" shrinkToFit="1"/>
    </xf>
    <xf numFmtId="0" fontId="4" fillId="0" borderId="2" xfId="0" applyFont="1" applyBorder="1" applyAlignment="1">
      <alignment horizontal="left" vertical="center" shrinkToFit="1"/>
    </xf>
    <xf numFmtId="0" fontId="4" fillId="0" borderId="0" xfId="0" quotePrefix="1" applyFont="1" applyAlignment="1">
      <alignment horizontal="center" vertical="center" shrinkToFit="1"/>
    </xf>
    <xf numFmtId="0" fontId="4" fillId="3" borderId="7" xfId="0" applyFont="1" applyFill="1" applyBorder="1" applyAlignment="1" applyProtection="1">
      <alignment horizontal="center" vertical="center" shrinkToFit="1"/>
      <protection locked="0"/>
    </xf>
    <xf numFmtId="0" fontId="4"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17" fillId="0" borderId="0" xfId="0" applyFont="1" applyAlignment="1">
      <alignment horizontal="center" vertical="center" shrinkToFit="1"/>
    </xf>
    <xf numFmtId="0" fontId="4" fillId="0" borderId="9" xfId="0" applyFont="1" applyBorder="1" applyAlignment="1">
      <alignment horizontal="center" vertical="center" shrinkToFit="1"/>
    </xf>
    <xf numFmtId="0" fontId="15" fillId="0" borderId="0" xfId="0" applyFont="1" applyAlignment="1">
      <alignment horizontal="center" vertical="center" shrinkToFit="1"/>
    </xf>
    <xf numFmtId="0" fontId="20" fillId="0" borderId="0" xfId="0" applyFont="1" applyAlignment="1">
      <alignment horizontal="center" vertical="top" shrinkToFit="1"/>
    </xf>
    <xf numFmtId="0" fontId="4" fillId="0" borderId="0" xfId="0" applyFont="1" applyAlignment="1">
      <alignment horizontal="right" vertical="center" shrinkToFit="1"/>
    </xf>
    <xf numFmtId="0" fontId="13" fillId="0" borderId="0" xfId="0" applyFont="1" applyAlignment="1">
      <alignment horizontal="center" vertical="center" shrinkToFit="1"/>
    </xf>
    <xf numFmtId="0" fontId="25" fillId="0" borderId="0" xfId="0" applyFont="1" applyAlignment="1">
      <alignment horizontal="right" vertical="center" shrinkToFit="1"/>
    </xf>
    <xf numFmtId="0" fontId="4" fillId="3" borderId="0" xfId="0" applyFont="1" applyFill="1" applyAlignment="1">
      <alignment horizontal="left" vertical="center" indent="2" shrinkToFit="1"/>
    </xf>
    <xf numFmtId="0" fontId="12" fillId="0" borderId="1" xfId="0" applyFont="1" applyBorder="1" applyAlignment="1">
      <alignment horizontal="center" vertical="center" shrinkToFit="1"/>
    </xf>
    <xf numFmtId="0" fontId="5" fillId="3" borderId="0" xfId="0" applyFont="1" applyFill="1" applyAlignment="1" applyProtection="1">
      <alignment horizontal="left" vertical="center" indent="2" shrinkToFit="1"/>
      <protection locked="0"/>
    </xf>
    <xf numFmtId="0" fontId="4" fillId="3" borderId="0" xfId="0" applyFont="1" applyFill="1" applyAlignment="1" applyProtection="1">
      <alignment horizontal="left" vertical="center" indent="2" shrinkToFit="1"/>
      <protection locked="0"/>
    </xf>
    <xf numFmtId="0" fontId="4" fillId="4" borderId="7" xfId="0" applyFont="1" applyFill="1" applyBorder="1" applyAlignment="1" applyProtection="1">
      <alignment horizontal="center" vertical="center" shrinkToFit="1"/>
      <protection locked="0"/>
    </xf>
    <xf numFmtId="14" fontId="25" fillId="0" borderId="11" xfId="0" applyNumberFormat="1" applyFont="1" applyBorder="1" applyAlignment="1">
      <alignment horizontal="center" vertical="center" shrinkToFit="1"/>
    </xf>
    <xf numFmtId="14" fontId="25" fillId="0" borderId="12" xfId="0" applyNumberFormat="1" applyFont="1" applyBorder="1" applyAlignment="1">
      <alignment horizontal="center" vertical="center" shrinkToFit="1"/>
    </xf>
    <xf numFmtId="0" fontId="4" fillId="0" borderId="2" xfId="0" applyFont="1" applyBorder="1" applyAlignment="1">
      <alignment horizontal="center" vertical="center" shrinkToFit="1"/>
    </xf>
    <xf numFmtId="0" fontId="25" fillId="0" borderId="0" xfId="0" applyFont="1" applyAlignment="1">
      <alignment horizontal="left" vertical="center" shrinkToFit="1"/>
    </xf>
    <xf numFmtId="179" fontId="4" fillId="0" borderId="1" xfId="0" applyNumberFormat="1" applyFont="1" applyBorder="1" applyAlignment="1">
      <alignment horizontal="center" vertical="center" shrinkToFit="1"/>
    </xf>
    <xf numFmtId="0" fontId="4" fillId="0" borderId="0" xfId="0" applyFont="1" applyAlignment="1">
      <alignment horizontal="left" vertical="top" wrapText="1" shrinkToFit="1"/>
    </xf>
    <xf numFmtId="0" fontId="4" fillId="0" borderId="1" xfId="0" applyFont="1" applyBorder="1" applyAlignment="1">
      <alignment horizontal="left" vertical="top" wrapText="1" shrinkToFit="1"/>
    </xf>
    <xf numFmtId="0" fontId="18" fillId="3" borderId="2" xfId="0" applyFont="1" applyFill="1" applyBorder="1" applyAlignment="1" applyProtection="1">
      <alignment horizontal="left" vertical="top" wrapText="1" shrinkToFit="1"/>
      <protection locked="0"/>
    </xf>
    <xf numFmtId="0" fontId="4" fillId="3" borderId="2" xfId="0" applyFont="1" applyFill="1" applyBorder="1" applyAlignment="1" applyProtection="1">
      <alignment horizontal="left" vertical="top" wrapText="1" shrinkToFit="1"/>
      <protection locked="0"/>
    </xf>
    <xf numFmtId="0" fontId="12" fillId="0" borderId="0" xfId="0" applyFont="1" applyAlignment="1">
      <alignment horizontal="left" vertical="center" wrapText="1"/>
    </xf>
    <xf numFmtId="0" fontId="26" fillId="0" borderId="0" xfId="0" applyFont="1" applyAlignment="1">
      <alignment horizontal="left" vertical="center" wrapText="1"/>
    </xf>
    <xf numFmtId="0" fontId="4" fillId="0" borderId="3" xfId="0" applyFont="1" applyBorder="1" applyAlignment="1">
      <alignment horizontal="left" vertical="center" shrinkToFit="1"/>
    </xf>
    <xf numFmtId="0" fontId="4" fillId="0" borderId="1" xfId="0" applyFont="1" applyBorder="1" applyAlignment="1">
      <alignment horizontal="right" vertical="center" shrinkToFit="1"/>
    </xf>
    <xf numFmtId="0" fontId="4" fillId="0" borderId="1" xfId="0" applyFont="1" applyBorder="1" applyAlignment="1">
      <alignment horizontal="left" vertical="center" shrinkToFit="1"/>
    </xf>
    <xf numFmtId="0" fontId="12" fillId="0" borderId="0" xfId="0" applyFont="1" applyAlignment="1">
      <alignment horizontal="left" vertical="center" wrapText="1" shrinkToFit="1"/>
    </xf>
    <xf numFmtId="0" fontId="26" fillId="0" borderId="0" xfId="0" applyFont="1" applyAlignment="1">
      <alignment horizontal="center" vertical="center" wrapText="1"/>
    </xf>
    <xf numFmtId="0" fontId="26" fillId="0" borderId="0" xfId="0" applyFont="1" applyAlignment="1">
      <alignment horizontal="center" vertical="center" shrinkToFit="1"/>
    </xf>
    <xf numFmtId="0" fontId="26" fillId="0" borderId="0" xfId="0" applyFont="1" applyAlignment="1">
      <alignment horizontal="left" vertical="center" shrinkToFit="1"/>
    </xf>
    <xf numFmtId="0" fontId="26" fillId="0" borderId="1" xfId="0" applyFont="1" applyBorder="1" applyAlignment="1">
      <alignment horizontal="center" vertical="center" shrinkToFit="1"/>
    </xf>
    <xf numFmtId="38" fontId="4" fillId="0" borderId="1" xfId="1" applyFont="1" applyFill="1" applyBorder="1" applyAlignment="1" applyProtection="1">
      <alignment horizontal="center" vertical="center" shrinkToFit="1"/>
    </xf>
    <xf numFmtId="0" fontId="0" fillId="0" borderId="3" xfId="0" applyBorder="1" applyAlignment="1">
      <alignment horizontal="left"/>
    </xf>
    <xf numFmtId="0" fontId="5" fillId="3" borderId="2" xfId="0" applyFont="1" applyFill="1" applyBorder="1" applyAlignment="1" applyProtection="1">
      <alignment horizontal="left" vertical="top" wrapText="1" shrinkToFit="1"/>
      <protection locked="0"/>
    </xf>
    <xf numFmtId="49" fontId="5" fillId="3" borderId="0" xfId="0" applyNumberFormat="1" applyFont="1" applyFill="1" applyAlignment="1" applyProtection="1">
      <alignment horizontal="left" vertical="center" shrinkToFit="1"/>
      <protection locked="0"/>
    </xf>
    <xf numFmtId="49" fontId="4" fillId="3" borderId="0" xfId="0" applyNumberFormat="1" applyFont="1" applyFill="1" applyAlignment="1" applyProtection="1">
      <alignment horizontal="left" vertical="center" shrinkToFit="1"/>
      <protection locked="0"/>
    </xf>
    <xf numFmtId="0" fontId="12" fillId="0" borderId="0" xfId="0" applyFont="1" applyAlignment="1">
      <alignment horizontal="right" vertical="center" shrinkToFit="1"/>
    </xf>
    <xf numFmtId="0" fontId="5" fillId="0" borderId="7" xfId="0" applyFont="1" applyBorder="1" applyAlignment="1">
      <alignment horizontal="center" vertical="center" shrinkToFit="1"/>
    </xf>
    <xf numFmtId="0" fontId="4" fillId="0" borderId="9" xfId="0" applyFont="1" applyBorder="1" applyAlignment="1">
      <alignment horizontal="left" vertical="center" shrinkToFit="1"/>
    </xf>
    <xf numFmtId="49" fontId="5" fillId="3" borderId="1" xfId="0" applyNumberFormat="1" applyFont="1" applyFill="1" applyBorder="1" applyAlignment="1" applyProtection="1">
      <alignment horizontal="left" vertical="center" shrinkToFit="1"/>
      <protection locked="0"/>
    </xf>
    <xf numFmtId="49" fontId="4" fillId="3" borderId="1" xfId="0" applyNumberFormat="1" applyFont="1" applyFill="1" applyBorder="1" applyAlignment="1" applyProtection="1">
      <alignment horizontal="left" vertical="center" shrinkToFit="1"/>
      <protection locked="0"/>
    </xf>
    <xf numFmtId="0" fontId="4" fillId="3" borderId="3" xfId="0" applyFont="1" applyFill="1" applyBorder="1" applyAlignment="1" applyProtection="1">
      <alignment horizontal="center" vertical="center" shrinkToFit="1"/>
      <protection locked="0"/>
    </xf>
    <xf numFmtId="0" fontId="27" fillId="0" borderId="0" xfId="0" applyFont="1" applyAlignment="1">
      <alignment vertical="center" shrinkToFit="1"/>
    </xf>
    <xf numFmtId="0" fontId="28" fillId="0" borderId="0" xfId="0" applyFont="1" applyAlignment="1">
      <alignment horizontal="center" vertical="center" shrinkToFit="1"/>
    </xf>
    <xf numFmtId="0" fontId="12" fillId="0" borderId="2" xfId="0" applyFont="1" applyBorder="1" applyAlignment="1">
      <alignment horizontal="left" vertical="center" shrinkToFit="1"/>
    </xf>
    <xf numFmtId="0" fontId="29" fillId="0" borderId="0" xfId="0" applyFont="1" applyAlignment="1">
      <alignment horizontal="left" vertical="center" shrinkToFit="1"/>
    </xf>
    <xf numFmtId="0" fontId="4" fillId="0" borderId="16" xfId="0" applyFont="1" applyBorder="1" applyAlignment="1">
      <alignment horizontal="left" vertical="center" shrinkToFit="1"/>
    </xf>
    <xf numFmtId="0" fontId="22" fillId="0" borderId="17" xfId="0" applyFont="1" applyBorder="1" applyAlignment="1">
      <alignment horizontal="right" vertical="center" shrinkToFit="1"/>
    </xf>
    <xf numFmtId="0" fontId="22" fillId="0" borderId="18" xfId="0" applyFont="1" applyBorder="1" applyAlignment="1">
      <alignment horizontal="right" vertical="center" shrinkToFit="1"/>
    </xf>
    <xf numFmtId="0" fontId="22" fillId="0" borderId="19" xfId="0" applyFont="1" applyBorder="1" applyAlignment="1">
      <alignment horizontal="right" vertical="center" shrinkToFit="1"/>
    </xf>
    <xf numFmtId="0" fontId="22" fillId="0" borderId="22" xfId="0" applyFont="1" applyBorder="1" applyAlignment="1">
      <alignment horizontal="right" vertical="center" shrinkToFit="1"/>
    </xf>
    <xf numFmtId="0" fontId="22" fillId="0" borderId="3" xfId="0" applyFont="1" applyBorder="1" applyAlignment="1">
      <alignment horizontal="right" vertical="center" shrinkToFit="1"/>
    </xf>
    <xf numFmtId="0" fontId="22" fillId="0" borderId="23" xfId="0" applyFont="1" applyBorder="1" applyAlignment="1">
      <alignment horizontal="right" vertical="center" shrinkToFit="1"/>
    </xf>
    <xf numFmtId="0" fontId="5" fillId="4" borderId="20" xfId="0" applyFont="1" applyFill="1" applyBorder="1" applyAlignment="1" applyProtection="1">
      <alignment horizontal="left" vertical="center" shrinkToFit="1"/>
      <protection locked="0"/>
    </xf>
    <xf numFmtId="0" fontId="4" fillId="4" borderId="18" xfId="0" applyFont="1" applyFill="1" applyBorder="1" applyAlignment="1" applyProtection="1">
      <alignment horizontal="left" vertical="center" shrinkToFit="1"/>
      <protection locked="0"/>
    </xf>
    <xf numFmtId="0" fontId="4" fillId="4" borderId="21" xfId="0" applyFont="1" applyFill="1" applyBorder="1" applyAlignment="1" applyProtection="1">
      <alignment horizontal="left" vertical="center" shrinkToFit="1"/>
      <protection locked="0"/>
    </xf>
    <xf numFmtId="0" fontId="4" fillId="4" borderId="24" xfId="0" applyFont="1" applyFill="1" applyBorder="1" applyAlignment="1" applyProtection="1">
      <alignment horizontal="left" vertical="center" shrinkToFit="1"/>
      <protection locked="0"/>
    </xf>
    <xf numFmtId="0" fontId="4" fillId="4" borderId="3" xfId="0" applyFont="1" applyFill="1" applyBorder="1" applyAlignment="1" applyProtection="1">
      <alignment horizontal="left" vertical="center" shrinkToFit="1"/>
      <protection locked="0"/>
    </xf>
    <xf numFmtId="0" fontId="4" fillId="4" borderId="25" xfId="0" applyFont="1" applyFill="1" applyBorder="1" applyAlignment="1" applyProtection="1">
      <alignment horizontal="left" vertical="center" shrinkToFit="1"/>
      <protection locked="0"/>
    </xf>
    <xf numFmtId="0" fontId="4" fillId="3" borderId="2" xfId="0" applyFont="1" applyFill="1" applyBorder="1" applyAlignment="1" applyProtection="1">
      <alignment horizontal="center" vertical="center" shrinkToFit="1"/>
      <protection locked="0"/>
    </xf>
    <xf numFmtId="0" fontId="4" fillId="0" borderId="38" xfId="0" applyFont="1" applyBorder="1" applyAlignment="1">
      <alignment horizontal="center" vertical="center" shrinkToFit="1"/>
    </xf>
    <xf numFmtId="0" fontId="4" fillId="3" borderId="12" xfId="0" applyFont="1" applyFill="1" applyBorder="1" applyAlignment="1" applyProtection="1">
      <alignment horizontal="center" vertical="center" shrinkToFit="1"/>
      <protection locked="0"/>
    </xf>
    <xf numFmtId="0" fontId="4" fillId="3" borderId="39" xfId="0" applyFont="1" applyFill="1" applyBorder="1" applyAlignment="1" applyProtection="1">
      <alignment horizontal="center" vertical="center" shrinkToFit="1"/>
      <protection locked="0"/>
    </xf>
    <xf numFmtId="0" fontId="4" fillId="3" borderId="3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4" fillId="3" borderId="30" xfId="0" applyFont="1" applyFill="1" applyBorder="1" applyAlignment="1" applyProtection="1">
      <alignment horizontal="center" vertical="center" shrinkToFit="1"/>
      <protection locked="0"/>
    </xf>
    <xf numFmtId="0" fontId="4" fillId="0" borderId="32"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33" xfId="0" applyFont="1" applyBorder="1" applyAlignment="1">
      <alignment horizontal="center" vertical="center" wrapText="1" shrinkToFit="1"/>
    </xf>
    <xf numFmtId="0" fontId="12"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7"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0" borderId="31"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12" fillId="0" borderId="34"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25" xfId="0" applyFont="1" applyBorder="1" applyAlignment="1">
      <alignment horizontal="center" vertical="center" wrapText="1" shrinkToFit="1"/>
    </xf>
    <xf numFmtId="49" fontId="21" fillId="3" borderId="17" xfId="0" applyNumberFormat="1" applyFont="1" applyFill="1" applyBorder="1" applyAlignment="1" applyProtection="1">
      <alignment horizontal="center" vertical="center" shrinkToFit="1"/>
      <protection locked="0"/>
    </xf>
    <xf numFmtId="49" fontId="4" fillId="3" borderId="18" xfId="0" applyNumberFormat="1" applyFont="1" applyFill="1" applyBorder="1" applyAlignment="1" applyProtection="1">
      <alignment horizontal="center" vertical="center" shrinkToFit="1"/>
      <protection locked="0"/>
    </xf>
    <xf numFmtId="49" fontId="4" fillId="3" borderId="21" xfId="0" applyNumberFormat="1" applyFont="1" applyFill="1" applyBorder="1" applyAlignment="1" applyProtection="1">
      <alignment horizontal="center" vertical="center" shrinkToFit="1"/>
      <protection locked="0"/>
    </xf>
    <xf numFmtId="49" fontId="4" fillId="3" borderId="22" xfId="0" applyNumberFormat="1" applyFont="1" applyFill="1" applyBorder="1" applyAlignment="1" applyProtection="1">
      <alignment horizontal="center" vertical="center" shrinkToFit="1"/>
      <protection locked="0"/>
    </xf>
    <xf numFmtId="49" fontId="4" fillId="3" borderId="3" xfId="0" applyNumberFormat="1" applyFont="1" applyFill="1" applyBorder="1" applyAlignment="1" applyProtection="1">
      <alignment horizontal="center" vertical="center" shrinkToFit="1"/>
      <protection locked="0"/>
    </xf>
    <xf numFmtId="49" fontId="4" fillId="3" borderId="25" xfId="0" applyNumberFormat="1" applyFont="1" applyFill="1" applyBorder="1" applyAlignment="1" applyProtection="1">
      <alignment horizontal="center" vertical="center" shrinkToFit="1"/>
      <protection locked="0"/>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5" xfId="0" applyFont="1" applyBorder="1" applyAlignment="1">
      <alignment horizontal="left" vertical="center" shrinkToFit="1"/>
    </xf>
    <xf numFmtId="49" fontId="5" fillId="3" borderId="17" xfId="0" applyNumberFormat="1" applyFont="1" applyFill="1" applyBorder="1" applyAlignment="1" applyProtection="1">
      <alignment horizontal="center" vertical="center" shrinkToFit="1"/>
      <protection locked="0"/>
    </xf>
    <xf numFmtId="180" fontId="4" fillId="0" borderId="2" xfId="0" applyNumberFormat="1" applyFont="1" applyBorder="1" applyAlignment="1">
      <alignment horizontal="center" vertical="center" shrinkToFit="1"/>
    </xf>
    <xf numFmtId="49" fontId="4" fillId="3" borderId="17" xfId="0" applyNumberFormat="1" applyFont="1" applyFill="1" applyBorder="1" applyAlignment="1" applyProtection="1">
      <alignment horizontal="center" vertical="center" shrinkToFit="1"/>
      <protection locked="0"/>
    </xf>
    <xf numFmtId="0" fontId="4" fillId="0" borderId="33" xfId="0" applyFont="1" applyBorder="1" applyAlignment="1">
      <alignment horizontal="center" vertical="center" shrinkToFit="1"/>
    </xf>
    <xf numFmtId="0" fontId="4" fillId="0" borderId="19" xfId="0" applyFont="1" applyBorder="1" applyAlignment="1">
      <alignment horizontal="left" vertical="center" shrinkToFit="1"/>
    </xf>
    <xf numFmtId="0" fontId="4" fillId="0" borderId="20" xfId="0" applyFont="1" applyBorder="1" applyAlignment="1">
      <alignment horizontal="center" vertical="center" shrinkToFit="1"/>
    </xf>
    <xf numFmtId="0" fontId="4" fillId="0" borderId="24" xfId="0" applyFont="1" applyBorder="1" applyAlignment="1">
      <alignment horizontal="center" vertical="center" shrinkToFit="1"/>
    </xf>
    <xf numFmtId="0" fontId="4" fillId="4" borderId="17" xfId="0" applyFont="1" applyFill="1" applyBorder="1" applyAlignment="1" applyProtection="1">
      <alignment horizontal="center" vertical="center" shrinkToFit="1"/>
      <protection locked="0"/>
    </xf>
    <xf numFmtId="0" fontId="4" fillId="4" borderId="18" xfId="0" applyFont="1" applyFill="1" applyBorder="1" applyAlignment="1" applyProtection="1">
      <alignment horizontal="center" vertical="center" shrinkToFit="1"/>
      <protection locked="0"/>
    </xf>
    <xf numFmtId="0" fontId="4" fillId="4" borderId="21" xfId="0" applyFont="1" applyFill="1" applyBorder="1" applyAlignment="1" applyProtection="1">
      <alignment horizontal="center" vertical="center" shrinkToFit="1"/>
      <protection locked="0"/>
    </xf>
    <xf numFmtId="0" fontId="4" fillId="4" borderId="22"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25" xfId="0" applyFont="1" applyFill="1" applyBorder="1" applyAlignment="1" applyProtection="1">
      <alignment horizontal="center" vertical="center" shrinkToFit="1"/>
      <protection locked="0"/>
    </xf>
    <xf numFmtId="0" fontId="4" fillId="4" borderId="2" xfId="0" applyFont="1" applyFill="1" applyBorder="1" applyAlignment="1" applyProtection="1">
      <alignment horizontal="center" vertical="center" shrinkToFit="1"/>
      <protection locked="0"/>
    </xf>
    <xf numFmtId="0" fontId="12" fillId="0" borderId="3" xfId="0" applyFont="1" applyBorder="1" applyAlignment="1">
      <alignment horizontal="left" vertical="center" shrinkToFit="1"/>
    </xf>
    <xf numFmtId="0" fontId="12" fillId="0" borderId="23" xfId="0" applyFont="1" applyBorder="1" applyAlignment="1">
      <alignment horizontal="left" vertical="center" shrinkToFit="1"/>
    </xf>
    <xf numFmtId="0" fontId="12" fillId="0" borderId="25" xfId="0" applyFont="1" applyBorder="1" applyAlignment="1">
      <alignment horizontal="left" vertical="center" shrinkToFit="1"/>
    </xf>
    <xf numFmtId="0" fontId="12" fillId="0" borderId="2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5" xfId="0" applyFont="1" applyBorder="1" applyAlignment="1">
      <alignment horizontal="center" vertical="center" shrinkToFit="1"/>
    </xf>
    <xf numFmtId="180" fontId="4" fillId="0" borderId="17" xfId="0" applyNumberFormat="1" applyFont="1" applyBorder="1" applyAlignment="1">
      <alignment horizontal="center" vertical="center" shrinkToFit="1"/>
    </xf>
    <xf numFmtId="180" fontId="4" fillId="0" borderId="21" xfId="0" applyNumberFormat="1" applyFont="1" applyBorder="1" applyAlignment="1">
      <alignment horizontal="center" vertical="center" shrinkToFit="1"/>
    </xf>
    <xf numFmtId="180" fontId="4" fillId="0" borderId="22" xfId="0" applyNumberFormat="1" applyFont="1" applyBorder="1" applyAlignment="1">
      <alignment horizontal="center" vertical="center" shrinkToFit="1"/>
    </xf>
    <xf numFmtId="180" fontId="4" fillId="0" borderId="25" xfId="0" applyNumberFormat="1" applyFont="1" applyBorder="1" applyAlignment="1">
      <alignment horizontal="center" vertical="center" shrinkToFit="1"/>
    </xf>
    <xf numFmtId="180" fontId="4" fillId="0" borderId="18" xfId="0" applyNumberFormat="1" applyFont="1" applyBorder="1" applyAlignment="1">
      <alignment horizontal="center" vertical="center" shrinkToFit="1"/>
    </xf>
    <xf numFmtId="180" fontId="4" fillId="0" borderId="3" xfId="0" applyNumberFormat="1" applyFont="1" applyBorder="1" applyAlignment="1">
      <alignment horizontal="center" vertical="center" shrinkToFit="1"/>
    </xf>
    <xf numFmtId="0" fontId="4" fillId="0" borderId="19" xfId="0" applyFont="1" applyBorder="1" applyAlignment="1">
      <alignment horizontal="center" vertical="center" shrinkToFit="1"/>
    </xf>
    <xf numFmtId="0" fontId="0" fillId="0" borderId="17" xfId="0" applyBorder="1" applyAlignment="1">
      <alignment horizontal="center" shrinkToFit="1"/>
    </xf>
    <xf numFmtId="0" fontId="0" fillId="0" borderId="18" xfId="0" applyBorder="1" applyAlignment="1">
      <alignment horizontal="center" shrinkToFit="1"/>
    </xf>
    <xf numFmtId="0" fontId="0" fillId="0" borderId="21" xfId="0" applyBorder="1" applyAlignment="1">
      <alignment horizontal="center" shrinkToFit="1"/>
    </xf>
    <xf numFmtId="0" fontId="30" fillId="0" borderId="0" xfId="0" applyFont="1" applyAlignment="1">
      <alignment horizontal="left" vertical="center" shrinkToFit="1"/>
    </xf>
    <xf numFmtId="0" fontId="31" fillId="0" borderId="17" xfId="0" applyFont="1" applyBorder="1" applyAlignment="1">
      <alignment horizontal="left" vertical="center" wrapText="1" shrinkToFit="1"/>
    </xf>
    <xf numFmtId="0" fontId="31" fillId="0" borderId="18" xfId="0" applyFont="1" applyBorder="1" applyAlignment="1">
      <alignment horizontal="left" vertical="center" wrapText="1" shrinkToFit="1"/>
    </xf>
    <xf numFmtId="0" fontId="31" fillId="0" borderId="21" xfId="0" applyFont="1" applyBorder="1" applyAlignment="1">
      <alignment horizontal="left" vertical="center" wrapText="1" shrinkToFit="1"/>
    </xf>
    <xf numFmtId="0" fontId="31" fillId="0" borderId="32" xfId="0" applyFont="1" applyBorder="1" applyAlignment="1">
      <alignment horizontal="left" vertical="center" wrapText="1" shrinkToFit="1"/>
    </xf>
    <xf numFmtId="0" fontId="31" fillId="0" borderId="0" xfId="0" applyFont="1" applyAlignment="1">
      <alignment horizontal="left" vertical="center" wrapText="1" shrinkToFit="1"/>
    </xf>
    <xf numFmtId="0" fontId="31" fillId="0" borderId="33" xfId="0" applyFont="1" applyBorder="1" applyAlignment="1">
      <alignment horizontal="left" vertical="center" wrapText="1" shrinkToFit="1"/>
    </xf>
    <xf numFmtId="0" fontId="31" fillId="0" borderId="22" xfId="0" applyFont="1" applyBorder="1" applyAlignment="1">
      <alignment horizontal="left" vertical="center" wrapText="1" shrinkToFit="1"/>
    </xf>
    <xf numFmtId="0" fontId="31" fillId="0" borderId="3" xfId="0" applyFont="1" applyBorder="1" applyAlignment="1">
      <alignment horizontal="left" vertical="center" wrapText="1" shrinkToFit="1"/>
    </xf>
    <xf numFmtId="0" fontId="31" fillId="0" borderId="25" xfId="0" applyFont="1" applyBorder="1" applyAlignment="1">
      <alignment horizontal="left" vertical="center" wrapText="1" shrinkToFit="1"/>
    </xf>
    <xf numFmtId="0" fontId="4" fillId="0" borderId="23" xfId="0" applyFont="1" applyBorder="1" applyAlignment="1">
      <alignment horizontal="center" vertical="center" shrinkToFit="1"/>
    </xf>
    <xf numFmtId="0" fontId="0" fillId="0" borderId="22" xfId="0" applyBorder="1" applyAlignment="1">
      <alignment horizontal="center" shrinkToFit="1"/>
    </xf>
    <xf numFmtId="0" fontId="0" fillId="0" borderId="3" xfId="0" applyBorder="1" applyAlignment="1">
      <alignment horizontal="center" shrinkToFit="1"/>
    </xf>
    <xf numFmtId="0" fontId="0" fillId="0" borderId="25" xfId="0" applyBorder="1" applyAlignment="1">
      <alignment horizontal="center" shrinkToFit="1"/>
    </xf>
    <xf numFmtId="0" fontId="4" fillId="0" borderId="32"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0" xfId="0" applyFont="1" applyBorder="1" applyAlignment="1">
      <alignment horizontal="center" vertical="center" shrinkToFit="1"/>
    </xf>
    <xf numFmtId="0" fontId="0" fillId="4" borderId="40" xfId="0" applyFill="1" applyBorder="1" applyAlignment="1" applyProtection="1">
      <alignment horizontal="center"/>
      <protection locked="0"/>
    </xf>
    <xf numFmtId="0" fontId="0" fillId="4" borderId="41" xfId="0" applyFill="1" applyBorder="1" applyAlignment="1" applyProtection="1">
      <alignment horizontal="center"/>
      <protection locked="0"/>
    </xf>
    <xf numFmtId="0" fontId="0" fillId="4" borderId="44" xfId="0" applyFill="1" applyBorder="1" applyAlignment="1" applyProtection="1">
      <alignment horizontal="center"/>
      <protection locked="0"/>
    </xf>
    <xf numFmtId="0" fontId="4" fillId="0" borderId="33" xfId="0" applyFont="1" applyBorder="1" applyAlignment="1">
      <alignment horizontal="left" vertical="center" shrinkToFit="1"/>
    </xf>
    <xf numFmtId="0" fontId="32" fillId="0" borderId="18" xfId="0" applyFont="1" applyBorder="1" applyAlignment="1">
      <alignment horizontal="left" vertical="center" wrapText="1" shrinkToFit="1"/>
    </xf>
    <xf numFmtId="0" fontId="32" fillId="0" borderId="21" xfId="0" applyFont="1" applyBorder="1" applyAlignment="1">
      <alignment horizontal="left" vertical="center" wrapText="1" shrinkToFit="1"/>
    </xf>
    <xf numFmtId="0" fontId="4" fillId="3" borderId="18" xfId="0" applyFont="1" applyFill="1" applyBorder="1" applyAlignment="1" applyProtection="1">
      <alignment horizontal="left" vertical="center" shrinkToFit="1"/>
      <protection locked="0"/>
    </xf>
    <xf numFmtId="0" fontId="4" fillId="3" borderId="21" xfId="0" applyFont="1" applyFill="1" applyBorder="1" applyAlignment="1" applyProtection="1">
      <alignment horizontal="left" vertical="center" shrinkToFit="1"/>
      <protection locked="0"/>
    </xf>
    <xf numFmtId="0" fontId="12" fillId="0" borderId="45" xfId="0" applyFont="1" applyBorder="1" applyAlignment="1">
      <alignment horizontal="center" vertical="center" shrinkToFit="1"/>
    </xf>
    <xf numFmtId="0" fontId="0" fillId="4" borderId="46" xfId="0" applyFill="1" applyBorder="1" applyAlignment="1" applyProtection="1">
      <alignment horizontal="center"/>
      <protection locked="0"/>
    </xf>
    <xf numFmtId="0" fontId="0" fillId="4" borderId="47" xfId="0" applyFill="1" applyBorder="1" applyAlignment="1" applyProtection="1">
      <alignment horizontal="center"/>
      <protection locked="0"/>
    </xf>
    <xf numFmtId="0" fontId="0" fillId="4" borderId="48" xfId="0" applyFill="1" applyBorder="1" applyAlignment="1" applyProtection="1">
      <alignment horizontal="center"/>
      <protection locked="0"/>
    </xf>
    <xf numFmtId="0" fontId="4" fillId="0" borderId="41" xfId="0" applyFont="1" applyBorder="1" applyAlignment="1">
      <alignment horizontal="left" vertical="center" shrinkToFit="1"/>
    </xf>
    <xf numFmtId="0" fontId="4" fillId="0" borderId="44" xfId="0" applyFont="1" applyBorder="1" applyAlignment="1">
      <alignment horizontal="left" vertical="center" shrinkToFit="1"/>
    </xf>
    <xf numFmtId="49" fontId="4" fillId="3" borderId="3" xfId="0" applyNumberFormat="1" applyFont="1" applyFill="1" applyBorder="1" applyAlignment="1" applyProtection="1">
      <alignment horizontal="left" vertical="center" shrinkToFit="1"/>
      <protection locked="0"/>
    </xf>
    <xf numFmtId="49" fontId="4" fillId="3" borderId="25" xfId="0" applyNumberFormat="1" applyFont="1" applyFill="1" applyBorder="1" applyAlignment="1" applyProtection="1">
      <alignment horizontal="left" vertical="center" shrinkToFit="1"/>
      <protection locked="0"/>
    </xf>
    <xf numFmtId="0" fontId="32" fillId="0" borderId="3" xfId="0" applyFont="1" applyBorder="1" applyAlignment="1">
      <alignment horizontal="left" vertical="center" wrapText="1" shrinkToFit="1"/>
    </xf>
    <xf numFmtId="0" fontId="32" fillId="0" borderId="25" xfId="0" applyFont="1" applyBorder="1" applyAlignment="1">
      <alignment horizontal="left" vertical="center" wrapText="1" shrinkToFit="1"/>
    </xf>
    <xf numFmtId="0" fontId="4" fillId="3" borderId="3" xfId="0" applyFont="1" applyFill="1" applyBorder="1" applyAlignment="1" applyProtection="1">
      <alignment horizontal="left" vertical="center" shrinkToFit="1"/>
      <protection locked="0"/>
    </xf>
    <xf numFmtId="0" fontId="4" fillId="3" borderId="25" xfId="0" applyFont="1" applyFill="1" applyBorder="1" applyAlignment="1" applyProtection="1">
      <alignment horizontal="left" vertical="center" shrinkToFit="1"/>
      <protection locked="0"/>
    </xf>
    <xf numFmtId="49" fontId="4" fillId="3" borderId="18" xfId="0" applyNumberFormat="1" applyFont="1" applyFill="1" applyBorder="1" applyAlignment="1" applyProtection="1">
      <alignment horizontal="left" vertical="center" shrinkToFit="1"/>
      <protection locked="0"/>
    </xf>
    <xf numFmtId="49" fontId="4" fillId="3" borderId="21" xfId="0" applyNumberFormat="1" applyFont="1" applyFill="1" applyBorder="1" applyAlignment="1" applyProtection="1">
      <alignment horizontal="left" vertical="center" shrinkToFit="1"/>
      <protection locked="0"/>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0" xfId="0" applyFont="1" applyAlignment="1">
      <alignment horizontal="center" vertical="center" wrapText="1"/>
    </xf>
    <xf numFmtId="0" fontId="12" fillId="0" borderId="33"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17"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12" fillId="0" borderId="21" xfId="0" applyFont="1" applyBorder="1" applyAlignment="1">
      <alignment horizontal="center" vertical="center" wrapText="1" shrinkToFit="1"/>
    </xf>
    <xf numFmtId="0" fontId="12" fillId="0" borderId="32"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33" xfId="0" applyFont="1" applyBorder="1" applyAlignment="1">
      <alignment horizontal="center" vertical="center" wrapText="1" shrinkToFit="1"/>
    </xf>
    <xf numFmtId="0" fontId="12" fillId="0" borderId="22"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0" borderId="25" xfId="0" applyFont="1" applyBorder="1" applyAlignment="1">
      <alignment horizontal="center" vertical="center" wrapText="1" shrinkToFit="1"/>
    </xf>
    <xf numFmtId="0" fontId="12" fillId="0" borderId="11"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23" xfId="0" applyFont="1" applyBorder="1" applyAlignment="1">
      <alignment horizontal="center" vertical="center" shrinkToFit="1"/>
    </xf>
    <xf numFmtId="49" fontId="4" fillId="3" borderId="2" xfId="0" applyNumberFormat="1" applyFont="1" applyFill="1" applyBorder="1" applyAlignment="1" applyProtection="1">
      <alignment horizontal="center" vertical="center" shrinkToFit="1"/>
      <protection locked="0"/>
    </xf>
    <xf numFmtId="49" fontId="4" fillId="3" borderId="26" xfId="0" applyNumberFormat="1" applyFont="1" applyFill="1" applyBorder="1" applyAlignment="1" applyProtection="1">
      <alignment horizontal="center" vertical="center" shrinkToFit="1"/>
      <protection locked="0"/>
    </xf>
    <xf numFmtId="49" fontId="4" fillId="3" borderId="27" xfId="0" applyNumberFormat="1" applyFont="1" applyFill="1" applyBorder="1" applyAlignment="1" applyProtection="1">
      <alignment horizontal="center" vertical="center" shrinkToFit="1"/>
      <protection locked="0"/>
    </xf>
    <xf numFmtId="49" fontId="4" fillId="3" borderId="30" xfId="0" applyNumberFormat="1" applyFont="1" applyFill="1" applyBorder="1" applyAlignment="1" applyProtection="1">
      <alignment horizontal="center" vertical="center" shrinkToFit="1"/>
      <protection locked="0"/>
    </xf>
    <xf numFmtId="0" fontId="4" fillId="3" borderId="26" xfId="0" applyFont="1" applyFill="1" applyBorder="1" applyAlignment="1" applyProtection="1">
      <alignment horizontal="center" vertical="center" shrinkToFit="1"/>
      <protection locked="0"/>
    </xf>
    <xf numFmtId="0" fontId="4" fillId="3" borderId="27" xfId="0" applyFont="1" applyFill="1" applyBorder="1" applyAlignment="1" applyProtection="1">
      <alignment horizontal="center" vertical="center" shrinkToFit="1"/>
      <protection locked="0"/>
    </xf>
    <xf numFmtId="0" fontId="12" fillId="3" borderId="26" xfId="0" applyFont="1" applyFill="1" applyBorder="1" applyAlignment="1" applyProtection="1">
      <alignment horizontal="center" vertical="center" shrinkToFit="1"/>
      <protection locked="0"/>
    </xf>
    <xf numFmtId="0" fontId="12" fillId="3" borderId="28" xfId="0" applyFont="1" applyFill="1" applyBorder="1" applyAlignment="1" applyProtection="1">
      <alignment horizontal="center" vertical="center" shrinkToFit="1"/>
      <protection locked="0"/>
    </xf>
    <xf numFmtId="0" fontId="4" fillId="6" borderId="26" xfId="0" applyFont="1" applyFill="1" applyBorder="1" applyAlignment="1" applyProtection="1">
      <alignment horizontal="center" vertical="center" shrinkToFit="1"/>
      <protection locked="0"/>
    </xf>
    <xf numFmtId="0" fontId="4" fillId="6" borderId="27" xfId="0" applyFont="1" applyFill="1" applyBorder="1" applyAlignment="1" applyProtection="1">
      <alignment horizontal="center" vertical="center" shrinkToFit="1"/>
      <protection locked="0"/>
    </xf>
    <xf numFmtId="0" fontId="4" fillId="6" borderId="30" xfId="0"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shrinkToFit="1"/>
    </xf>
    <xf numFmtId="0" fontId="4" fillId="0" borderId="9" xfId="0" applyFont="1" applyFill="1" applyBorder="1" applyAlignment="1" applyProtection="1">
      <alignment horizontal="center" vertical="center" shrinkToFit="1"/>
    </xf>
    <xf numFmtId="0" fontId="0" fillId="7" borderId="0" xfId="0" applyFill="1" applyAlignment="1">
      <alignment horizontal="center" vertical="center"/>
    </xf>
    <xf numFmtId="0" fontId="42" fillId="3" borderId="0" xfId="0" applyFont="1" applyFill="1" applyAlignment="1" applyProtection="1">
      <alignment horizontal="center" vertical="center" shrinkToFit="1"/>
      <protection locked="0"/>
    </xf>
    <xf numFmtId="0" fontId="42" fillId="3" borderId="1"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right" vertical="center" shrinkToFit="1"/>
      <protection locked="0"/>
    </xf>
    <xf numFmtId="0" fontId="42" fillId="0" borderId="0" xfId="0" applyFont="1" applyAlignment="1" applyProtection="1">
      <alignment horizontal="right" vertical="center" shrinkToFit="1"/>
      <protection locked="0"/>
    </xf>
    <xf numFmtId="0" fontId="42" fillId="0" borderId="1" xfId="0" applyFont="1" applyBorder="1" applyAlignment="1" applyProtection="1">
      <alignment horizontal="right" vertical="center" shrinkToFit="1"/>
      <protection locked="0"/>
    </xf>
    <xf numFmtId="0" fontId="42" fillId="3" borderId="4" xfId="0" applyFont="1" applyFill="1" applyBorder="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0" fontId="42" fillId="0" borderId="1" xfId="0" applyFont="1" applyBorder="1" applyAlignment="1" applyProtection="1">
      <alignment horizontal="left" vertical="center" shrinkToFit="1"/>
      <protection locked="0"/>
    </xf>
    <xf numFmtId="0" fontId="42" fillId="3" borderId="1" xfId="0" applyFont="1" applyFill="1" applyBorder="1" applyAlignment="1" applyProtection="1">
      <alignment horizontal="left" vertical="center" shrinkToFit="1"/>
      <protection locked="0"/>
    </xf>
    <xf numFmtId="0" fontId="42" fillId="3" borderId="6" xfId="0" applyFont="1" applyFill="1" applyBorder="1" applyAlignment="1" applyProtection="1">
      <alignment horizontal="left" vertical="center" shrinkToFit="1"/>
      <protection locked="0"/>
    </xf>
    <xf numFmtId="0" fontId="42" fillId="3" borderId="7" xfId="0" applyFont="1" applyFill="1" applyBorder="1" applyAlignment="1" applyProtection="1">
      <alignment horizontal="center" vertical="center" shrinkToFit="1"/>
      <protection locked="0"/>
    </xf>
    <xf numFmtId="0" fontId="42" fillId="4" borderId="8" xfId="0" applyFont="1" applyFill="1" applyBorder="1" applyAlignment="1" applyProtection="1">
      <alignment horizontal="center" vertical="center" shrinkToFit="1"/>
      <protection locked="0"/>
    </xf>
    <xf numFmtId="0" fontId="42" fillId="3" borderId="9" xfId="0" applyFont="1" applyFill="1" applyBorder="1" applyAlignment="1" applyProtection="1">
      <alignment horizontal="left" vertical="center" shrinkToFit="1"/>
      <protection locked="0"/>
    </xf>
    <xf numFmtId="0" fontId="42" fillId="3" borderId="7" xfId="0" applyFont="1" applyFill="1" applyBorder="1" applyAlignment="1" applyProtection="1">
      <alignment vertical="center" shrinkToFit="1"/>
      <protection locked="0"/>
    </xf>
    <xf numFmtId="0" fontId="42" fillId="3" borderId="0" xfId="0" applyFont="1" applyFill="1" applyAlignment="1" applyProtection="1">
      <alignment horizontal="left" vertical="top" wrapText="1" shrinkToFit="1"/>
      <protection locked="0"/>
    </xf>
    <xf numFmtId="0" fontId="42" fillId="3" borderId="1" xfId="0" applyFont="1" applyFill="1" applyBorder="1" applyAlignment="1" applyProtection="1">
      <alignment horizontal="left" vertical="top" wrapText="1" shrinkToFit="1"/>
      <protection locked="0"/>
    </xf>
  </cellXfs>
  <cellStyles count="2">
    <cellStyle name="常规" xfId="0" builtinId="0"/>
    <cellStyle name="千位分隔[0]" xfId="1" builtinId="6"/>
  </cellStyles>
  <dxfs count="10">
    <dxf>
      <fill>
        <patternFill>
          <bgColor rgb="FFFFFF00"/>
        </patternFill>
      </fill>
    </dxf>
    <dxf>
      <fill>
        <patternFill patternType="solid">
          <fgColor indexed="64"/>
          <bgColor theme="6" tint="0.39994506668294322"/>
        </patternFill>
      </fill>
    </dxf>
    <dxf>
      <fill>
        <patternFill patternType="solid">
          <fgColor indexed="64"/>
          <bgColor theme="6" tint="0.59996337778862885"/>
        </patternFill>
      </fill>
    </dxf>
    <dxf>
      <fill>
        <patternFill patternType="solid">
          <fgColor indexed="64"/>
          <bgColor theme="6" tint="0.59996337778862885"/>
        </patternFill>
      </fill>
    </dxf>
    <dxf>
      <fill>
        <patternFill patternType="solid">
          <fgColor indexed="64"/>
          <bgColor theme="6" tint="0.59996337778862885"/>
        </patternFill>
      </fill>
    </dxf>
    <dxf>
      <fill>
        <patternFill patternType="solid">
          <fgColor indexed="64"/>
          <bgColor theme="6" tint="0.59996337778862885"/>
        </patternFill>
      </fill>
    </dxf>
    <dxf>
      <fill>
        <patternFill patternType="none">
          <fgColor indexed="64"/>
          <bgColor auto="1"/>
        </patternFill>
      </fill>
    </dxf>
    <dxf>
      <font>
        <b/>
        <i val="0"/>
        <color rgb="FFFF0000"/>
      </font>
      <fill>
        <patternFill>
          <bgColor rgb="FFFFFF00"/>
        </patternFill>
      </fill>
    </dxf>
    <dxf>
      <font>
        <b/>
        <i val="0"/>
        <color rgb="FFFF0000"/>
      </font>
      <fill>
        <patternFill>
          <bgColor rgb="FFFFFF00"/>
        </patternFill>
      </fill>
    </dxf>
    <dxf>
      <fill>
        <patternFill patternType="solid">
          <fgColor indexed="64"/>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List" dx="22" fmlaLink="$BA$10" fmlaRange="$BG$10:$BG$12" noThreeD="1" sel="1" val="0"/>
</file>

<file path=xl/ctrlProps/ctrlProp10.xml><?xml version="1.0" encoding="utf-8"?>
<formControlPr xmlns="http://schemas.microsoft.com/office/spreadsheetml/2009/9/main" objectType="List" dx="22" fmlaLink="$BA$28" fmlaRange="$BG$28:$BG$30" noThreeD="1" sel="1" val="0"/>
</file>

<file path=xl/ctrlProps/ctrlProp11.xml><?xml version="1.0" encoding="utf-8"?>
<formControlPr xmlns="http://schemas.microsoft.com/office/spreadsheetml/2009/9/main" objectType="List" dx="22" fmlaLink="$BA$38" fmlaRange="$BG$38:$BG$40" noThreeD="1" sel="1" val="0"/>
</file>

<file path=xl/ctrlProps/ctrlProp2.xml><?xml version="1.0" encoding="utf-8"?>
<formControlPr xmlns="http://schemas.microsoft.com/office/spreadsheetml/2009/9/main" objectType="List" dx="22" fmlaLink="$BA$16" fmlaRange="$BG$16:$BG$18" noThreeD="1" sel="1" val="0"/>
</file>

<file path=xl/ctrlProps/ctrlProp3.xml><?xml version="1.0" encoding="utf-8"?>
<formControlPr xmlns="http://schemas.microsoft.com/office/spreadsheetml/2009/9/main" objectType="Drop" dropStyle="combo" dx="22" fmlaLink="$BA$2" fmlaRange="$BL$2:$BL$5" noThreeD="1" sel="4" val="0"/>
</file>

<file path=xl/ctrlProps/ctrlProp4.xml><?xml version="1.0" encoding="utf-8"?>
<formControlPr xmlns="http://schemas.microsoft.com/office/spreadsheetml/2009/9/main" objectType="Drop" dropStyle="combo" dx="22" fmlaLink="$BA$3" fmlaRange="$BL$2:$BL$5" noThreeD="1" sel="3" val="0"/>
</file>

<file path=xl/ctrlProps/ctrlProp5.xml><?xml version="1.0" encoding="utf-8"?>
<formControlPr xmlns="http://schemas.microsoft.com/office/spreadsheetml/2009/9/main" objectType="List" dx="22" fmlaLink="$BA$40" fmlaRange="$BG$40:$BG$47" noThreeD="1" sel="1" val="0"/>
</file>

<file path=xl/ctrlProps/ctrlProp6.xml><?xml version="1.0" encoding="utf-8"?>
<formControlPr xmlns="http://schemas.microsoft.com/office/spreadsheetml/2009/9/main" objectType="List" dx="22" fmlaLink="$BA$94" fmlaRange="$BG$94:$BG$99" noThreeD="1" sel="1" val="0"/>
</file>

<file path=xl/ctrlProps/ctrlProp7.xml><?xml version="1.0" encoding="utf-8"?>
<formControlPr xmlns="http://schemas.microsoft.com/office/spreadsheetml/2009/9/main" objectType="Drop" dropStyle="combo" dx="22" fmlaLink="$BA$7" fmlaRange="$BN$7:$BN$13" noThreeD="1" sel="2" val="0"/>
</file>

<file path=xl/ctrlProps/ctrlProp8.xml><?xml version="1.0" encoding="utf-8"?>
<formControlPr xmlns="http://schemas.microsoft.com/office/spreadsheetml/2009/9/main" objectType="List" dx="22" fmlaLink="$BA$21" fmlaRange="$BN$19:$BN$39" noThreeD="1" sel="1" val="0"/>
</file>

<file path=xl/ctrlProps/ctrlProp9.xml><?xml version="1.0" encoding="utf-8"?>
<formControlPr xmlns="http://schemas.microsoft.com/office/spreadsheetml/2009/9/main" objectType="List" dx="22" fmlaLink="$BA$25" fmlaRange="$BN$19:$BN$39"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46</xdr:col>
          <xdr:colOff>0</xdr:colOff>
          <xdr:row>9</xdr:row>
          <xdr:rowOff>0</xdr:rowOff>
        </xdr:from>
        <xdr:to>
          <xdr:col>49</xdr:col>
          <xdr:colOff>0</xdr:colOff>
          <xdr:row>12</xdr:row>
          <xdr:rowOff>66675</xdr:rowOff>
        </xdr:to>
        <xdr:sp macro="" textlink="">
          <xdr:nvSpPr>
            <xdr:cNvPr id="1025" name="リスト 169"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15</xdr:row>
          <xdr:rowOff>0</xdr:rowOff>
        </xdr:from>
        <xdr:to>
          <xdr:col>49</xdr:col>
          <xdr:colOff>0</xdr:colOff>
          <xdr:row>18</xdr:row>
          <xdr:rowOff>0</xdr:rowOff>
        </xdr:to>
        <xdr:sp macro="" textlink="">
          <xdr:nvSpPr>
            <xdr:cNvPr id="1026" name="リスト 170"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1</xdr:row>
          <xdr:rowOff>0</xdr:rowOff>
        </xdr:from>
        <xdr:to>
          <xdr:col>49</xdr:col>
          <xdr:colOff>0</xdr:colOff>
          <xdr:row>2</xdr:row>
          <xdr:rowOff>0</xdr:rowOff>
        </xdr:to>
        <xdr:sp macro="" textlink="">
          <xdr:nvSpPr>
            <xdr:cNvPr id="1027" name="ドロップ 17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xdr:row>
          <xdr:rowOff>0</xdr:rowOff>
        </xdr:from>
        <xdr:to>
          <xdr:col>49</xdr:col>
          <xdr:colOff>0</xdr:colOff>
          <xdr:row>3</xdr:row>
          <xdr:rowOff>0</xdr:rowOff>
        </xdr:to>
        <xdr:sp macro="" textlink="">
          <xdr:nvSpPr>
            <xdr:cNvPr id="1028" name="ドロップ 17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39</xdr:row>
          <xdr:rowOff>0</xdr:rowOff>
        </xdr:from>
        <xdr:to>
          <xdr:col>49</xdr:col>
          <xdr:colOff>0</xdr:colOff>
          <xdr:row>45</xdr:row>
          <xdr:rowOff>0</xdr:rowOff>
        </xdr:to>
        <xdr:sp macro="" textlink="">
          <xdr:nvSpPr>
            <xdr:cNvPr id="1029" name="リスト 17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93</xdr:row>
          <xdr:rowOff>0</xdr:rowOff>
        </xdr:from>
        <xdr:to>
          <xdr:col>49</xdr:col>
          <xdr:colOff>0</xdr:colOff>
          <xdr:row>99</xdr:row>
          <xdr:rowOff>0</xdr:rowOff>
        </xdr:to>
        <xdr:sp macro="" textlink="">
          <xdr:nvSpPr>
            <xdr:cNvPr id="1030" name="リスト 17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561975</xdr:colOff>
          <xdr:row>5</xdr:row>
          <xdr:rowOff>0</xdr:rowOff>
        </xdr:from>
        <xdr:to>
          <xdr:col>55</xdr:col>
          <xdr:colOff>0</xdr:colOff>
          <xdr:row>6</xdr:row>
          <xdr:rowOff>0</xdr:rowOff>
        </xdr:to>
        <xdr:sp macro="" textlink="">
          <xdr:nvSpPr>
            <xdr:cNvPr id="1031" name="ドロップ 176"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152400</xdr:colOff>
          <xdr:row>20</xdr:row>
          <xdr:rowOff>0</xdr:rowOff>
        </xdr:from>
        <xdr:to>
          <xdr:col>47</xdr:col>
          <xdr:colOff>0</xdr:colOff>
          <xdr:row>34</xdr:row>
          <xdr:rowOff>0</xdr:rowOff>
        </xdr:to>
        <xdr:sp macro="" textlink="">
          <xdr:nvSpPr>
            <xdr:cNvPr id="1032" name="List Box 8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20</xdr:row>
          <xdr:rowOff>0</xdr:rowOff>
        </xdr:from>
        <xdr:to>
          <xdr:col>49</xdr:col>
          <xdr:colOff>0</xdr:colOff>
          <xdr:row>34</xdr:row>
          <xdr:rowOff>0</xdr:rowOff>
        </xdr:to>
        <xdr:sp macro="" textlink="">
          <xdr:nvSpPr>
            <xdr:cNvPr id="1033" name="List Box 18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0</xdr:colOff>
      <xdr:row>26</xdr:row>
      <xdr:rowOff>9526</xdr:rowOff>
    </xdr:from>
    <xdr:to>
      <xdr:col>45</xdr:col>
      <xdr:colOff>0</xdr:colOff>
      <xdr:row>26</xdr:row>
      <xdr:rowOff>9527</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bwMode="auto">
        <a:xfrm>
          <a:off x="0" y="4695826"/>
          <a:ext cx="7677150" cy="1"/>
        </a:xfrm>
        <a:prstGeom prst="line">
          <a:avLst/>
        </a:prstGeom>
        <a:ln w="19050">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0</xdr:col>
      <xdr:colOff>0</xdr:colOff>
      <xdr:row>28</xdr:row>
      <xdr:rowOff>0</xdr:rowOff>
    </xdr:from>
    <xdr:to>
      <xdr:col>45</xdr:col>
      <xdr:colOff>0</xdr:colOff>
      <xdr:row>28</xdr:row>
      <xdr:rowOff>1</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bwMode="auto">
        <a:xfrm>
          <a:off x="0" y="5067300"/>
          <a:ext cx="7677150" cy="1"/>
        </a:xfrm>
        <a:prstGeom prst="line">
          <a:avLst/>
        </a:prstGeom>
        <a:ln w="19050">
          <a:headEnd type="none" w="med" len="med"/>
          <a:tailEnd type="none" w="med" len="med"/>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4</xdr:col>
      <xdr:colOff>85725</xdr:colOff>
      <xdr:row>18</xdr:row>
      <xdr:rowOff>0</xdr:rowOff>
    </xdr:from>
    <xdr:to>
      <xdr:col>41</xdr:col>
      <xdr:colOff>85725</xdr:colOff>
      <xdr:row>20</xdr:row>
      <xdr:rowOff>57150</xdr:rowOff>
    </xdr:to>
    <xdr:sp macro="" textlink="BD21">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95325" y="3228975"/>
          <a:ext cx="56388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971BE87-C4E3-42D9-9044-B6CCD0D7D733}" type="TxLink">
            <a:rPr kumimoji="1" lang="ja-JP" altLang="en-US" sz="1400" b="1" i="0" u="none" strike="noStrike">
              <a:solidFill>
                <a:srgbClr val="FF0000"/>
              </a:solidFill>
              <a:latin typeface="Arial Unicode MS"/>
              <a:ea typeface="游ゴシック"/>
            </a:rPr>
            <a:pPr/>
            <a:t>*请先输入支付人信息 /  経費支弁者を最初に記入してください。</a:t>
          </a:fld>
          <a:endParaRPr kumimoji="1" lang="en-US" altLang="ja-JP" sz="1400" b="1">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32</xdr:col>
      <xdr:colOff>150895</xdr:colOff>
      <xdr:row>61</xdr:row>
      <xdr:rowOff>1</xdr:rowOff>
    </xdr:from>
    <xdr:to>
      <xdr:col>33</xdr:col>
      <xdr:colOff>150895</xdr:colOff>
      <xdr:row>63</xdr:row>
      <xdr:rowOff>2</xdr:rowOff>
    </xdr:to>
    <xdr:grpSp>
      <xdr:nvGrpSpPr>
        <xdr:cNvPr id="2" name="グループ化 52">
          <a:extLst>
            <a:ext uri="{FF2B5EF4-FFF2-40B4-BE49-F238E27FC236}">
              <a16:creationId xmlns:a16="http://schemas.microsoft.com/office/drawing/2014/main" id="{00000000-0008-0000-0100-000002000000}"/>
            </a:ext>
          </a:extLst>
        </xdr:cNvPr>
        <xdr:cNvGrpSpPr>
          <a:grpSpLocks/>
        </xdr:cNvGrpSpPr>
      </xdr:nvGrpSpPr>
      <xdr:grpSpPr bwMode="auto">
        <a:xfrm>
          <a:off x="5027695" y="11610976"/>
          <a:ext cx="152400" cy="381001"/>
          <a:chOff x="1306286" y="10254344"/>
          <a:chExt cx="163288" cy="381002"/>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06286" y="10254344"/>
            <a:ext cx="163288"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1.</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06286" y="10444845"/>
            <a:ext cx="163288"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2.</a:t>
            </a:r>
          </a:p>
        </xdr:txBody>
      </xdr:sp>
    </xdr:grpSp>
    <xdr:clientData fPrintsWithSheet="0"/>
  </xdr:twoCellAnchor>
  <xdr:twoCellAnchor>
    <xdr:from>
      <xdr:col>32</xdr:col>
      <xdr:colOff>150895</xdr:colOff>
      <xdr:row>57</xdr:row>
      <xdr:rowOff>8</xdr:rowOff>
    </xdr:from>
    <xdr:to>
      <xdr:col>33</xdr:col>
      <xdr:colOff>150895</xdr:colOff>
      <xdr:row>59</xdr:row>
      <xdr:rowOff>8</xdr:rowOff>
    </xdr:to>
    <xdr:grpSp>
      <xdr:nvGrpSpPr>
        <xdr:cNvPr id="5" name="グループ化 52">
          <a:extLst>
            <a:ext uri="{FF2B5EF4-FFF2-40B4-BE49-F238E27FC236}">
              <a16:creationId xmlns:a16="http://schemas.microsoft.com/office/drawing/2014/main" id="{00000000-0008-0000-0100-000005000000}"/>
            </a:ext>
          </a:extLst>
        </xdr:cNvPr>
        <xdr:cNvGrpSpPr>
          <a:grpSpLocks/>
        </xdr:cNvGrpSpPr>
      </xdr:nvGrpSpPr>
      <xdr:grpSpPr bwMode="auto">
        <a:xfrm>
          <a:off x="5027695" y="10848983"/>
          <a:ext cx="152400" cy="381000"/>
          <a:chOff x="1306286" y="10254343"/>
          <a:chExt cx="163288" cy="390771"/>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306286" y="10254343"/>
            <a:ext cx="163288" cy="195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1.</a:t>
            </a:r>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306286" y="10449727"/>
            <a:ext cx="163288" cy="195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2.</a:t>
            </a:r>
          </a:p>
        </xdr:txBody>
      </xdr:sp>
    </xdr:grpSp>
    <xdr:clientData fPrintsWithSheet="0"/>
  </xdr:twoCellAnchor>
  <xdr:twoCellAnchor>
    <xdr:from>
      <xdr:col>13</xdr:col>
      <xdr:colOff>0</xdr:colOff>
      <xdr:row>59</xdr:row>
      <xdr:rowOff>0</xdr:rowOff>
    </xdr:from>
    <xdr:to>
      <xdr:col>14</xdr:col>
      <xdr:colOff>0</xdr:colOff>
      <xdr:row>61</xdr:row>
      <xdr:rowOff>0</xdr:rowOff>
    </xdr:to>
    <xdr:grpSp>
      <xdr:nvGrpSpPr>
        <xdr:cNvPr id="8" name="グループ化 52">
          <a:extLst>
            <a:ext uri="{FF2B5EF4-FFF2-40B4-BE49-F238E27FC236}">
              <a16:creationId xmlns:a16="http://schemas.microsoft.com/office/drawing/2014/main" id="{00000000-0008-0000-0100-000008000000}"/>
            </a:ext>
          </a:extLst>
        </xdr:cNvPr>
        <xdr:cNvGrpSpPr>
          <a:grpSpLocks/>
        </xdr:cNvGrpSpPr>
      </xdr:nvGrpSpPr>
      <xdr:grpSpPr bwMode="auto">
        <a:xfrm>
          <a:off x="1981200" y="11229975"/>
          <a:ext cx="152400" cy="381000"/>
          <a:chOff x="1306286" y="10254343"/>
          <a:chExt cx="163288" cy="381001"/>
        </a:xfrm>
      </xdr:grpSpPr>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306286" y="10254343"/>
            <a:ext cx="163288"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1.</a:t>
            </a:r>
          </a:p>
        </xdr:txBody>
      </xdr:sp>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306286" y="10444844"/>
            <a:ext cx="163288"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2.</a:t>
            </a:r>
          </a:p>
        </xdr:txBody>
      </xdr:sp>
    </xdr:grpSp>
    <xdr:clientData fPrintsWithSheet="0"/>
  </xdr:twoCellAnchor>
  <xdr:twoCellAnchor>
    <xdr:from>
      <xdr:col>7</xdr:col>
      <xdr:colOff>150895</xdr:colOff>
      <xdr:row>57</xdr:row>
      <xdr:rowOff>1</xdr:rowOff>
    </xdr:from>
    <xdr:to>
      <xdr:col>8</xdr:col>
      <xdr:colOff>150895</xdr:colOff>
      <xdr:row>59</xdr:row>
      <xdr:rowOff>4</xdr:rowOff>
    </xdr:to>
    <xdr:grpSp>
      <xdr:nvGrpSpPr>
        <xdr:cNvPr id="11" name="グループ化 52">
          <a:extLst>
            <a:ext uri="{FF2B5EF4-FFF2-40B4-BE49-F238E27FC236}">
              <a16:creationId xmlns:a16="http://schemas.microsoft.com/office/drawing/2014/main" id="{00000000-0008-0000-0100-00000B000000}"/>
            </a:ext>
          </a:extLst>
        </xdr:cNvPr>
        <xdr:cNvGrpSpPr>
          <a:grpSpLocks/>
        </xdr:cNvGrpSpPr>
      </xdr:nvGrpSpPr>
      <xdr:grpSpPr bwMode="auto">
        <a:xfrm>
          <a:off x="1217695" y="10848976"/>
          <a:ext cx="152400" cy="381003"/>
          <a:chOff x="1306285" y="10254344"/>
          <a:chExt cx="171882" cy="381004"/>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06285" y="10254344"/>
            <a:ext cx="171882"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1.</a:t>
            </a:r>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306285" y="10444843"/>
            <a:ext cx="171882" cy="190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2.</a:t>
            </a:r>
          </a:p>
        </xdr:txBody>
      </xdr:sp>
    </xdr:grpSp>
    <xdr:clientData fPrintsWithSheet="0"/>
  </xdr:twoCellAnchor>
  <xdr:twoCellAnchor>
    <xdr:from>
      <xdr:col>2</xdr:col>
      <xdr:colOff>150895</xdr:colOff>
      <xdr:row>33</xdr:row>
      <xdr:rowOff>13</xdr:rowOff>
    </xdr:from>
    <xdr:to>
      <xdr:col>3</xdr:col>
      <xdr:colOff>150895</xdr:colOff>
      <xdr:row>35</xdr:row>
      <xdr:rowOff>12</xdr:rowOff>
    </xdr:to>
    <xdr:grpSp>
      <xdr:nvGrpSpPr>
        <xdr:cNvPr id="14" name="グループ化 52">
          <a:extLst>
            <a:ext uri="{FF2B5EF4-FFF2-40B4-BE49-F238E27FC236}">
              <a16:creationId xmlns:a16="http://schemas.microsoft.com/office/drawing/2014/main" id="{00000000-0008-0000-0100-00000E000000}"/>
            </a:ext>
          </a:extLst>
        </xdr:cNvPr>
        <xdr:cNvGrpSpPr>
          <a:grpSpLocks/>
        </xdr:cNvGrpSpPr>
      </xdr:nvGrpSpPr>
      <xdr:grpSpPr bwMode="auto">
        <a:xfrm>
          <a:off x="455695" y="6276988"/>
          <a:ext cx="152400" cy="380999"/>
          <a:chOff x="1306286" y="10254349"/>
          <a:chExt cx="163288" cy="390770"/>
        </a:xfrm>
      </xdr:grpSpPr>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06286" y="10254349"/>
            <a:ext cx="163288" cy="195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1.</a:t>
            </a:r>
          </a:p>
        </xdr:txBody>
      </xdr:sp>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06286" y="10449733"/>
            <a:ext cx="163288" cy="195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2.</a:t>
            </a:r>
          </a:p>
        </xdr:txBody>
      </xdr:sp>
    </xdr:grpSp>
    <xdr:clientData fPrintsWithSheet="0"/>
  </xdr:twoCellAnchor>
  <xdr:twoCellAnchor>
    <xdr:from>
      <xdr:col>8</xdr:col>
      <xdr:colOff>150896</xdr:colOff>
      <xdr:row>61</xdr:row>
      <xdr:rowOff>190430</xdr:rowOff>
    </xdr:from>
    <xdr:to>
      <xdr:col>20</xdr:col>
      <xdr:colOff>1</xdr:colOff>
      <xdr:row>63</xdr:row>
      <xdr:rowOff>0</xdr:rowOff>
    </xdr:to>
    <xdr:grpSp>
      <xdr:nvGrpSpPr>
        <xdr:cNvPr id="17" name="グループ化 52">
          <a:extLst>
            <a:ext uri="{FF2B5EF4-FFF2-40B4-BE49-F238E27FC236}">
              <a16:creationId xmlns:a16="http://schemas.microsoft.com/office/drawing/2014/main" id="{00000000-0008-0000-0100-000011000000}"/>
            </a:ext>
          </a:extLst>
        </xdr:cNvPr>
        <xdr:cNvGrpSpPr>
          <a:grpSpLocks/>
        </xdr:cNvGrpSpPr>
      </xdr:nvGrpSpPr>
      <xdr:grpSpPr bwMode="auto">
        <a:xfrm>
          <a:off x="1370096" y="11801405"/>
          <a:ext cx="1677905" cy="190570"/>
          <a:chOff x="1054466" y="10333965"/>
          <a:chExt cx="813210" cy="128930"/>
        </a:xfrm>
      </xdr:grpSpPr>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054466" y="10333965"/>
            <a:ext cx="73929" cy="128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1.</a:t>
            </a:r>
          </a:p>
        </xdr:txBody>
      </xdr:sp>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793748" y="10334036"/>
            <a:ext cx="73928" cy="128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lstStyle/>
          <a:p>
            <a:pPr algn="ctr"/>
            <a:r>
              <a:rPr kumimoji="1" lang="en-US" altLang="ja-JP" sz="800"/>
              <a:t>2.</a:t>
            </a:r>
          </a:p>
        </xdr:txBody>
      </xdr:sp>
    </xdr:grp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0</xdr:colOff>
          <xdr:row>27</xdr:row>
          <xdr:rowOff>0</xdr:rowOff>
        </xdr:from>
        <xdr:to>
          <xdr:col>53</xdr:col>
          <xdr:colOff>523875</xdr:colOff>
          <xdr:row>30</xdr:row>
          <xdr:rowOff>0</xdr:rowOff>
        </xdr:to>
        <xdr:sp macro="" textlink="">
          <xdr:nvSpPr>
            <xdr:cNvPr id="3073" name="List Box 36"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37</xdr:row>
          <xdr:rowOff>0</xdr:rowOff>
        </xdr:from>
        <xdr:to>
          <xdr:col>53</xdr:col>
          <xdr:colOff>523875</xdr:colOff>
          <xdr:row>40</xdr:row>
          <xdr:rowOff>0</xdr:rowOff>
        </xdr:to>
        <xdr:sp macro="" textlink="">
          <xdr:nvSpPr>
            <xdr:cNvPr id="3074" name="List Box 36"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F916-971D-4D1A-8764-94FDDCCDF7B4}">
  <sheetPr codeName="Sheet1">
    <pageSetUpPr fitToPage="1"/>
  </sheetPr>
  <dimension ref="A1:BO112"/>
  <sheetViews>
    <sheetView tabSelected="1" workbookViewId="0">
      <selection activeCell="C78" sqref="C78:AQ89"/>
    </sheetView>
  </sheetViews>
  <sheetFormatPr defaultColWidth="2" defaultRowHeight="15" customHeight="1"/>
  <cols>
    <col min="1" max="43" width="2" customWidth="1"/>
    <col min="44" max="45" width="7.375" customWidth="1"/>
    <col min="46" max="46" width="2" customWidth="1"/>
    <col min="47" max="47" width="25.625" customWidth="1"/>
    <col min="48" max="48" width="2.25" customWidth="1"/>
    <col min="49" max="49" width="25.625" customWidth="1"/>
    <col min="50" max="52" width="1.375" customWidth="1"/>
    <col min="53" max="53" width="2.25" bestFit="1" customWidth="1"/>
    <col min="54" max="54" width="5.25" bestFit="1" customWidth="1"/>
    <col min="55" max="55" width="0.875" customWidth="1"/>
    <col min="56" max="60" width="4.75" customWidth="1"/>
    <col min="62" max="62" width="2.25" customWidth="1"/>
    <col min="64" max="64" width="6.875" bestFit="1" customWidth="1"/>
    <col min="65" max="67" width="11" customWidth="1"/>
  </cols>
  <sheetData>
    <row r="1" spans="1:67" ht="15" customHeight="1">
      <c r="A1" s="112" t="str">
        <f>VLOOKUP(BA7,ls!$B:$E,$BA$2,TRUE)</f>
        <v>東京学士学院</v>
      </c>
      <c r="B1" s="112"/>
      <c r="C1" s="112"/>
      <c r="D1" s="112"/>
      <c r="E1" s="112"/>
      <c r="F1" s="112"/>
      <c r="G1" s="112"/>
      <c r="H1" s="112"/>
      <c r="I1" s="112"/>
      <c r="J1" s="112"/>
      <c r="K1" s="112"/>
      <c r="L1" s="112"/>
      <c r="M1" s="112"/>
      <c r="N1" s="112"/>
      <c r="O1" s="112"/>
      <c r="P1" s="112"/>
      <c r="Q1" s="1"/>
      <c r="R1" s="1"/>
      <c r="S1" s="1"/>
      <c r="T1" s="1"/>
      <c r="U1" s="1"/>
      <c r="V1" s="1"/>
      <c r="W1" s="1"/>
      <c r="X1" s="113" t="str">
        <f>VLOOKUP(BA7,ls!$B:$E,$BA$3,TRUE)</f>
        <v>Tokyo Bachelor College</v>
      </c>
      <c r="Y1" s="113"/>
      <c r="Z1" s="113"/>
      <c r="AA1" s="113"/>
      <c r="AB1" s="113"/>
      <c r="AC1" s="113"/>
      <c r="AD1" s="113"/>
      <c r="AE1" s="113"/>
      <c r="AF1" s="113"/>
      <c r="AG1" s="113"/>
      <c r="AH1" s="113"/>
      <c r="AI1" s="113"/>
      <c r="AJ1" s="113"/>
      <c r="AK1" s="113"/>
      <c r="AL1" s="113"/>
      <c r="AM1" s="113"/>
      <c r="AN1" s="113"/>
      <c r="AO1" s="113"/>
      <c r="AP1" s="113"/>
      <c r="AQ1" s="113"/>
      <c r="AR1" s="2"/>
      <c r="AS1" s="2"/>
      <c r="AT1" s="3"/>
      <c r="AU1" s="3"/>
      <c r="AV1" s="3"/>
      <c r="AW1" s="4" t="s">
        <v>564</v>
      </c>
      <c r="AX1" s="3"/>
      <c r="AY1" s="3"/>
      <c r="AZ1" s="3"/>
      <c r="BA1" s="2" t="s">
        <v>0</v>
      </c>
      <c r="BB1" s="3"/>
      <c r="BC1" s="3"/>
      <c r="BD1" s="5"/>
      <c r="BE1" s="5"/>
      <c r="BF1" s="5"/>
      <c r="BG1" s="5"/>
      <c r="BH1" s="5"/>
      <c r="BI1" s="3"/>
      <c r="BJ1" s="3"/>
      <c r="BK1" s="3"/>
      <c r="BL1" s="3"/>
    </row>
    <row r="2" spans="1:67" ht="15" customHeight="1">
      <c r="A2" s="6"/>
      <c r="B2" s="1"/>
      <c r="C2" s="1"/>
      <c r="D2" s="1"/>
      <c r="E2" s="1"/>
      <c r="F2" s="1"/>
      <c r="G2" s="1"/>
      <c r="H2" s="1"/>
      <c r="I2" s="1"/>
      <c r="J2" s="1"/>
      <c r="K2" s="1"/>
      <c r="L2" s="1"/>
      <c r="M2" s="1"/>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2"/>
      <c r="AS2" s="2"/>
      <c r="AT2" s="3"/>
      <c r="AU2" s="7" t="s">
        <v>1</v>
      </c>
      <c r="AV2" s="8"/>
      <c r="AW2" s="3"/>
      <c r="AX2" s="3"/>
      <c r="AY2" s="3"/>
      <c r="AZ2" s="3"/>
      <c r="BA2" s="9">
        <v>4</v>
      </c>
      <c r="BB2" s="10" t="str">
        <f>INDEX(BL2:BL5,BA2)</f>
        <v>中文</v>
      </c>
      <c r="BC2" s="3"/>
      <c r="BD2" s="5"/>
      <c r="BE2" s="5"/>
      <c r="BF2" s="5"/>
      <c r="BG2" s="5"/>
      <c r="BH2" s="5"/>
      <c r="BI2" s="3"/>
      <c r="BJ2" s="3"/>
      <c r="BK2" s="11">
        <v>1</v>
      </c>
      <c r="BL2" s="11" t="s">
        <v>2</v>
      </c>
    </row>
    <row r="3" spans="1:67" ht="15" customHeight="1">
      <c r="A3" s="114" t="str">
        <f>VLOOKUP(1000,ls!$B:$E,$BA$2,TRUE)</f>
        <v>履歴書</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2"/>
      <c r="AS3" s="2"/>
      <c r="AT3" s="3"/>
      <c r="AU3" s="7" t="s">
        <v>3</v>
      </c>
      <c r="AV3" s="8"/>
      <c r="AW3" s="3"/>
      <c r="AX3" s="3"/>
      <c r="AY3" s="3"/>
      <c r="AZ3" s="3"/>
      <c r="BA3" s="9">
        <v>3</v>
      </c>
      <c r="BB3" s="10" t="str">
        <f>INDEX(BL2:BL5,BA3)</f>
        <v>English</v>
      </c>
      <c r="BC3" s="3"/>
      <c r="BD3" s="5"/>
      <c r="BE3" s="5"/>
      <c r="BF3" s="5"/>
      <c r="BG3" s="5"/>
      <c r="BH3" s="5"/>
      <c r="BI3" s="3"/>
      <c r="BJ3" s="3"/>
      <c r="BK3" s="11">
        <v>2</v>
      </c>
      <c r="BL3" s="11" t="s">
        <v>4</v>
      </c>
    </row>
    <row r="4" spans="1:67" ht="15" customHeight="1">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2"/>
      <c r="AS4" s="2"/>
      <c r="AT4" s="3"/>
      <c r="AU4" s="3"/>
      <c r="AV4" s="3"/>
      <c r="AW4" s="3"/>
      <c r="AX4" s="3"/>
      <c r="AY4" s="3"/>
      <c r="AZ4" s="3"/>
      <c r="BA4" s="3"/>
      <c r="BB4" s="3"/>
      <c r="BC4" s="3"/>
      <c r="BD4" s="5"/>
      <c r="BE4" s="5"/>
      <c r="BF4" s="5"/>
      <c r="BG4" s="5"/>
      <c r="BH4" s="5"/>
      <c r="BI4" s="3"/>
      <c r="BJ4" s="3"/>
      <c r="BK4" s="11">
        <v>3</v>
      </c>
      <c r="BL4" s="11" t="s">
        <v>5</v>
      </c>
    </row>
    <row r="5" spans="1:67" ht="15" customHeight="1">
      <c r="A5" s="115" t="str">
        <f>VLOOKUP(1000,ls!$B:$E,$BA$3,TRUE)</f>
        <v>PERSONAL RECORDS</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2"/>
      <c r="AS5" s="2"/>
      <c r="AT5" s="3"/>
      <c r="AU5" s="116" t="str">
        <f>"※"&amp;VLOOKUP(1,ls!$B:$E,$BA$2,TRUE)&amp;" "&amp;VLOOKUP(1,ls!$B:$E,$BA$3,TRUE)</f>
        <v>※请申请校选择。 Please choose an application school.</v>
      </c>
      <c r="AV5" s="116"/>
      <c r="AW5" s="116"/>
      <c r="AX5" s="3"/>
      <c r="AY5" s="3"/>
      <c r="AZ5" s="3"/>
      <c r="BA5" s="3"/>
      <c r="BB5" s="3"/>
      <c r="BC5" s="3"/>
      <c r="BD5" s="5"/>
      <c r="BE5" s="5"/>
      <c r="BF5" s="5"/>
      <c r="BG5" s="5"/>
      <c r="BH5" s="5"/>
      <c r="BI5" s="3"/>
      <c r="BJ5" s="3"/>
      <c r="BK5" s="11">
        <v>4</v>
      </c>
      <c r="BL5" s="11" t="s">
        <v>6</v>
      </c>
    </row>
    <row r="6" spans="1:67" ht="15" customHeight="1">
      <c r="A6" s="12"/>
      <c r="B6" s="13"/>
      <c r="C6" s="13"/>
      <c r="D6" s="13"/>
      <c r="E6" s="13"/>
      <c r="F6" s="13"/>
      <c r="G6" s="13"/>
      <c r="H6" s="13"/>
      <c r="I6" s="13"/>
      <c r="J6" s="13"/>
      <c r="K6" s="13"/>
      <c r="L6" s="13"/>
      <c r="M6" s="3"/>
      <c r="N6" s="3"/>
      <c r="O6" s="1"/>
      <c r="P6" s="1"/>
      <c r="Q6" s="1"/>
      <c r="R6" s="1"/>
      <c r="S6" s="1"/>
      <c r="T6" s="1"/>
      <c r="U6" s="1"/>
      <c r="V6" s="1"/>
      <c r="W6" s="1"/>
      <c r="X6" s="1"/>
      <c r="Y6" s="1"/>
      <c r="Z6" s="1"/>
      <c r="AA6" s="3"/>
      <c r="AB6" s="3"/>
      <c r="AC6" s="3"/>
      <c r="AD6" s="3"/>
      <c r="AE6" s="14"/>
      <c r="AF6" s="14"/>
      <c r="AG6" s="14"/>
      <c r="AH6" s="14"/>
      <c r="AI6" s="14"/>
      <c r="AJ6" s="14"/>
      <c r="AK6" s="14"/>
      <c r="AL6" s="14"/>
      <c r="AM6" s="14"/>
      <c r="AN6" s="14"/>
      <c r="AO6" s="14"/>
      <c r="AP6" s="14"/>
      <c r="AQ6" s="14"/>
      <c r="AR6" s="2"/>
      <c r="AS6" s="2"/>
      <c r="AT6" s="3"/>
      <c r="AU6" s="15"/>
      <c r="AV6" s="15"/>
      <c r="AW6" s="15"/>
      <c r="AX6" s="16"/>
      <c r="AY6" s="3"/>
      <c r="AZ6" s="16"/>
      <c r="BA6" s="3"/>
      <c r="BB6" s="3"/>
      <c r="BC6" s="3"/>
      <c r="BD6" s="5"/>
      <c r="BE6" s="5"/>
      <c r="BF6" s="5"/>
      <c r="BG6" s="5"/>
      <c r="BH6" s="5"/>
      <c r="BI6" s="16"/>
      <c r="BJ6" s="16"/>
      <c r="BK6" s="16"/>
      <c r="BL6" s="3"/>
      <c r="BM6" s="3"/>
      <c r="BN6" s="3"/>
      <c r="BO6" s="3"/>
    </row>
    <row r="7" spans="1:67" ht="15" customHeight="1" thickBot="1">
      <c r="A7" s="4"/>
      <c r="B7" s="3"/>
      <c r="C7" s="3"/>
      <c r="D7" s="3"/>
      <c r="E7" s="3"/>
      <c r="F7" s="3"/>
      <c r="G7" s="350" t="s">
        <v>7</v>
      </c>
      <c r="H7" s="350"/>
      <c r="I7" s="350"/>
      <c r="J7" s="350"/>
      <c r="K7" s="350"/>
      <c r="L7" s="350"/>
      <c r="M7" s="350"/>
      <c r="N7" s="350"/>
      <c r="O7" s="350"/>
      <c r="P7" s="350"/>
      <c r="Q7" s="350"/>
      <c r="R7" s="350"/>
      <c r="S7" s="350"/>
      <c r="T7" s="3"/>
      <c r="U7" s="3"/>
      <c r="V7" s="3"/>
      <c r="W7" s="3"/>
      <c r="X7" s="3"/>
      <c r="Y7" s="3"/>
      <c r="Z7" s="3"/>
      <c r="AA7" s="352"/>
      <c r="AB7" s="353"/>
      <c r="AC7" s="353"/>
      <c r="AD7" s="353"/>
      <c r="AE7" s="353"/>
      <c r="AF7" s="353"/>
      <c r="AG7" s="3"/>
      <c r="AH7" s="355"/>
      <c r="AI7" s="356"/>
      <c r="AJ7" s="356"/>
      <c r="AK7" s="356"/>
      <c r="AL7" s="356"/>
      <c r="AM7" s="356"/>
      <c r="AN7" s="356"/>
      <c r="AO7" s="356"/>
      <c r="AP7" s="356"/>
      <c r="AQ7" s="3"/>
      <c r="AR7" s="2"/>
      <c r="AS7" s="2"/>
      <c r="AT7" s="3"/>
      <c r="AU7" s="15"/>
      <c r="AV7" s="15"/>
      <c r="AW7" s="15"/>
      <c r="AX7" s="3"/>
      <c r="AY7" s="3"/>
      <c r="AZ7" s="3"/>
      <c r="BA7" s="9">
        <v>2</v>
      </c>
      <c r="BB7" s="10" t="str">
        <f>INDEX(BO7:BO13,BA7)</f>
        <v>東京学士学院</v>
      </c>
      <c r="BC7" s="16"/>
      <c r="BD7" s="5"/>
      <c r="BE7" s="5"/>
      <c r="BF7" s="5"/>
      <c r="BG7" s="5"/>
      <c r="BH7" s="5"/>
      <c r="BI7" s="3"/>
      <c r="BJ7" s="3"/>
      <c r="BK7" s="17">
        <v>1</v>
      </c>
      <c r="BL7" s="17" t="s">
        <v>8</v>
      </c>
      <c r="BM7" s="17" t="s">
        <v>8</v>
      </c>
      <c r="BN7" s="17" t="str">
        <f>VLOOKUP(100,ls!$B:$E,$BA$2,TRUE)&amp;" / "&amp;VLOOKUP(100,ls!$B:$E,$BA$3,TRUE)</f>
        <v>未选择 / Unselected</v>
      </c>
      <c r="BO7" s="17" t="str">
        <f t="shared" ref="BO7:BO13" si="0">BL7</f>
        <v xml:space="preserve"> </v>
      </c>
    </row>
    <row r="8" spans="1:67" ht="15" customHeight="1">
      <c r="A8" s="4">
        <v>1</v>
      </c>
      <c r="B8" s="3" t="s">
        <v>9</v>
      </c>
      <c r="C8" s="119" t="str">
        <f>VLOOKUP(1010,ls!$B:$E,$BA$2,TRUE)</f>
        <v>国籍</v>
      </c>
      <c r="D8" s="119"/>
      <c r="E8" s="119"/>
      <c r="F8" s="119"/>
      <c r="G8" s="351"/>
      <c r="H8" s="351"/>
      <c r="I8" s="351"/>
      <c r="J8" s="351"/>
      <c r="K8" s="351"/>
      <c r="L8" s="351"/>
      <c r="M8" s="351"/>
      <c r="N8" s="351"/>
      <c r="O8" s="351"/>
      <c r="P8" s="351"/>
      <c r="Q8" s="351"/>
      <c r="R8" s="351"/>
      <c r="S8" s="351"/>
      <c r="T8" s="3"/>
      <c r="U8" s="3"/>
      <c r="V8" s="4">
        <v>2</v>
      </c>
      <c r="W8" s="3" t="s">
        <v>9</v>
      </c>
      <c r="X8" s="119" t="str">
        <f>VLOOKUP(1020,ls!$B:$E,$BA$2,TRUE)</f>
        <v>姓名</v>
      </c>
      <c r="Y8" s="119"/>
      <c r="Z8" s="119"/>
      <c r="AA8" s="354"/>
      <c r="AB8" s="354"/>
      <c r="AC8" s="354"/>
      <c r="AD8" s="354"/>
      <c r="AE8" s="354"/>
      <c r="AF8" s="354"/>
      <c r="AG8" s="18"/>
      <c r="AH8" s="357"/>
      <c r="AI8" s="357"/>
      <c r="AJ8" s="357"/>
      <c r="AK8" s="357"/>
      <c r="AL8" s="357"/>
      <c r="AM8" s="357"/>
      <c r="AN8" s="357"/>
      <c r="AO8" s="357"/>
      <c r="AP8" s="357"/>
      <c r="AQ8" s="3"/>
      <c r="AR8" s="2"/>
      <c r="AS8" s="2"/>
      <c r="AT8" s="3"/>
      <c r="AU8" s="15"/>
      <c r="AV8" s="15"/>
      <c r="AW8" s="15"/>
      <c r="AX8" s="3"/>
      <c r="AY8" s="3"/>
      <c r="AZ8" s="3"/>
      <c r="BA8" s="15"/>
      <c r="BB8" s="19"/>
      <c r="BC8" s="3"/>
      <c r="BD8" s="5"/>
      <c r="BE8" s="5"/>
      <c r="BF8" s="5"/>
      <c r="BG8" s="5"/>
      <c r="BH8" s="5"/>
      <c r="BI8" s="3"/>
      <c r="BJ8" s="3"/>
      <c r="BK8" s="17">
        <v>2</v>
      </c>
      <c r="BL8" s="17" t="str">
        <f>VLOOKUP(2,ls!$B:$E,$BA$2,TRUE)</f>
        <v>東京学士学院</v>
      </c>
      <c r="BM8" s="20" t="str">
        <f>VLOOKUP(2,ls!$B:$E,$BA$3,TRUE)</f>
        <v>Tokyo Bachelor College</v>
      </c>
      <c r="BN8" s="17" t="str">
        <f t="shared" ref="BN8:BN13" si="1">BL8&amp;"  /  "&amp;BM8</f>
        <v>東京学士学院  /  Tokyo Bachelor College</v>
      </c>
      <c r="BO8" s="17" t="str">
        <f t="shared" si="0"/>
        <v>東京学士学院</v>
      </c>
    </row>
    <row r="9" spans="1:67" ht="15" customHeight="1">
      <c r="A9" s="21"/>
      <c r="B9" s="14"/>
      <c r="C9" s="123" t="str">
        <f>VLOOKUP(1010,ls!$B:$E,$BA$3,TRUE)</f>
        <v>Nationality</v>
      </c>
      <c r="D9" s="123"/>
      <c r="E9" s="123"/>
      <c r="F9" s="123"/>
      <c r="G9" s="14"/>
      <c r="H9" s="14"/>
      <c r="I9" s="14"/>
      <c r="J9" s="14"/>
      <c r="K9" s="14"/>
      <c r="L9" s="14"/>
      <c r="M9" s="14"/>
      <c r="N9" s="14"/>
      <c r="O9" s="14"/>
      <c r="P9" s="14"/>
      <c r="Q9" s="14"/>
      <c r="R9" s="14"/>
      <c r="S9" s="14"/>
      <c r="T9" s="14"/>
      <c r="U9" s="14"/>
      <c r="V9" s="21"/>
      <c r="W9" s="14"/>
      <c r="X9" s="123" t="str">
        <f>VLOOKUP(1020,ls!$B:$E,$BA$3,TRUE)</f>
        <v>Full name</v>
      </c>
      <c r="Y9" s="123"/>
      <c r="Z9" s="123"/>
      <c r="AA9" s="125" t="str">
        <f>VLOOKUP(1030,ls!$B:$E,$BA$2,TRUE) &amp; "("&amp;VLOOKUP(1030,ls!$B:$E,$BA$3,TRUE)&amp;")"</f>
        <v>姓(Family name)</v>
      </c>
      <c r="AB9" s="125"/>
      <c r="AC9" s="125"/>
      <c r="AD9" s="125"/>
      <c r="AE9" s="125"/>
      <c r="AF9" s="125"/>
      <c r="AG9" s="14"/>
      <c r="AH9" s="125" t="str">
        <f>VLOOKUP(1040,ls!$B:$E,$BA$2,TRUE) &amp; "("&amp;VLOOKUP(1040,ls!$B:$E,$BA$3,TRUE)&amp;")"</f>
        <v>名(Middle, Given name)</v>
      </c>
      <c r="AI9" s="125"/>
      <c r="AJ9" s="125"/>
      <c r="AK9" s="125"/>
      <c r="AL9" s="125"/>
      <c r="AM9" s="125"/>
      <c r="AN9" s="125"/>
      <c r="AO9" s="125"/>
      <c r="AP9" s="125"/>
      <c r="AQ9" s="14"/>
      <c r="AR9" s="22"/>
      <c r="AS9" s="22"/>
      <c r="AT9" s="3"/>
      <c r="AU9" s="3"/>
      <c r="AV9" s="3"/>
      <c r="AW9" s="3"/>
      <c r="AX9" s="3"/>
      <c r="AY9" s="3"/>
      <c r="AZ9" s="3"/>
      <c r="BA9" s="15"/>
      <c r="BB9" s="19"/>
      <c r="BC9" s="14"/>
      <c r="BD9" s="5"/>
      <c r="BE9" s="5"/>
      <c r="BF9" s="5"/>
      <c r="BG9" s="5"/>
      <c r="BH9" s="5"/>
      <c r="BI9" s="14"/>
      <c r="BJ9" s="14"/>
      <c r="BK9" s="17">
        <v>3</v>
      </c>
      <c r="BL9" s="17" t="str">
        <f>VLOOKUP(3,ls!$B:$E,$BA$2,TRUE)</f>
        <v>東京学士学院</v>
      </c>
      <c r="BM9" s="20" t="str">
        <f>VLOOKUP(3,ls!$B:$E,$BA$3,TRUE)</f>
        <v>Tokyo Bachelor College</v>
      </c>
      <c r="BN9" s="17" t="str">
        <f t="shared" si="1"/>
        <v>東京学士学院  /  Tokyo Bachelor College</v>
      </c>
      <c r="BO9" s="17" t="str">
        <f t="shared" si="0"/>
        <v>東京学士学院</v>
      </c>
    </row>
    <row r="10" spans="1:67" ht="9.9499999999999993" customHeight="1">
      <c r="A10" s="4"/>
      <c r="B10" s="3"/>
      <c r="C10" s="19"/>
      <c r="D10" s="19"/>
      <c r="E10" s="19"/>
      <c r="F10" s="19"/>
      <c r="G10" s="3"/>
      <c r="H10" s="3"/>
      <c r="I10" s="3"/>
      <c r="J10" s="3"/>
      <c r="K10" s="3"/>
      <c r="L10" s="3"/>
      <c r="M10" s="3"/>
      <c r="N10" s="3"/>
      <c r="O10" s="3"/>
      <c r="P10" s="3"/>
      <c r="Q10" s="3"/>
      <c r="R10" s="3"/>
      <c r="S10" s="3"/>
      <c r="T10" s="3"/>
      <c r="U10" s="3"/>
      <c r="V10" s="4"/>
      <c r="W10" s="3"/>
      <c r="X10" s="3"/>
      <c r="Y10" s="3"/>
      <c r="Z10" s="3"/>
      <c r="AA10" s="3"/>
      <c r="AB10" s="3"/>
      <c r="AC10" s="3"/>
      <c r="AD10" s="3"/>
      <c r="AE10" s="3"/>
      <c r="AF10" s="3"/>
      <c r="AG10" s="3"/>
      <c r="AH10" s="3"/>
      <c r="AI10" s="3"/>
      <c r="AJ10" s="3"/>
      <c r="AK10" s="3"/>
      <c r="AL10" s="3"/>
      <c r="AM10" s="3"/>
      <c r="AN10" s="3"/>
      <c r="AO10" s="3"/>
      <c r="AP10" s="3"/>
      <c r="AQ10" s="3"/>
      <c r="AR10" s="2"/>
      <c r="AS10" s="2"/>
      <c r="AT10" s="3"/>
      <c r="AU10" s="3"/>
      <c r="AV10" s="3"/>
      <c r="AW10" s="14"/>
      <c r="AX10" s="14"/>
      <c r="AY10" s="14"/>
      <c r="AZ10" s="14"/>
      <c r="BA10" s="9">
        <v>1</v>
      </c>
      <c r="BB10" s="10" t="str">
        <f>INDEX(BH10:BH12,BA10)</f>
        <v xml:space="preserve"> </v>
      </c>
      <c r="BC10" s="14"/>
      <c r="BD10" s="20">
        <v>1</v>
      </c>
      <c r="BE10" s="20" t="s">
        <v>8</v>
      </c>
      <c r="BF10" s="20"/>
      <c r="BG10" s="17" t="str">
        <f>VLOOKUP(100,ls!$B:$E,$BA$2,TRUE)&amp;" / "&amp;VLOOKUP(100,ls!$B:$E,$BA$3,TRUE)</f>
        <v>未选择 / Unselected</v>
      </c>
      <c r="BH10" s="17" t="str">
        <f>BE10</f>
        <v xml:space="preserve"> </v>
      </c>
      <c r="BI10" s="3"/>
      <c r="BJ10" s="3"/>
      <c r="BK10" s="17">
        <v>4</v>
      </c>
      <c r="BL10" s="17" t="str">
        <f>VLOOKUP(4,ls!$B:$E,$BA$2,TRUE)</f>
        <v>東京学士学院</v>
      </c>
      <c r="BM10" s="20" t="str">
        <f>VLOOKUP(4,ls!$B:$E,$BA$3,TRUE)</f>
        <v>Tokyo Bachelor College</v>
      </c>
      <c r="BN10" s="17" t="str">
        <f t="shared" si="1"/>
        <v>東京学士学院  /  Tokyo Bachelor College</v>
      </c>
      <c r="BO10" s="17" t="str">
        <f t="shared" si="0"/>
        <v>東京学士学院</v>
      </c>
    </row>
    <row r="11" spans="1:67" ht="15" customHeight="1">
      <c r="A11" s="4">
        <v>3</v>
      </c>
      <c r="B11" s="3" t="s">
        <v>9</v>
      </c>
      <c r="C11" s="119" t="str">
        <f>VLOOKUP(1050,ls!$B:$E,$BA$2,TRUE)</f>
        <v>出生年月日</v>
      </c>
      <c r="D11" s="119"/>
      <c r="E11" s="119"/>
      <c r="F11" s="119"/>
      <c r="G11" s="351"/>
      <c r="H11" s="351"/>
      <c r="I11" s="351"/>
      <c r="J11" s="120" t="str">
        <f>VLOOKUP(1060,ls!$B:$E,$BA$2,TRUE)</f>
        <v>年</v>
      </c>
      <c r="K11" s="120"/>
      <c r="L11" s="351"/>
      <c r="M11" s="351"/>
      <c r="N11" s="120" t="str">
        <f>VLOOKUP(1070,ls!$B:$E,$BA$2,TRUE)</f>
        <v>月</v>
      </c>
      <c r="O11" s="120"/>
      <c r="P11" s="351"/>
      <c r="Q11" s="351"/>
      <c r="R11" s="120" t="str">
        <f>VLOOKUP(1080,ls!$B:$E,$BA$2,TRUE)</f>
        <v>日</v>
      </c>
      <c r="S11" s="120"/>
      <c r="T11" s="3"/>
      <c r="U11" s="3"/>
      <c r="V11" s="4">
        <v>4</v>
      </c>
      <c r="W11" s="3" t="s">
        <v>9</v>
      </c>
      <c r="X11" s="119" t="str">
        <f>VLOOKUP(1090,ls!$B:$E,$BA$2,TRUE)</f>
        <v>性別</v>
      </c>
      <c r="Y11" s="119"/>
      <c r="Z11" s="119"/>
      <c r="AA11" s="121" t="str">
        <f>BB10</f>
        <v xml:space="preserve"> </v>
      </c>
      <c r="AB11" s="121"/>
      <c r="AC11" s="121"/>
      <c r="AD11" s="121"/>
      <c r="AE11" s="121"/>
      <c r="AF11" s="121"/>
      <c r="AG11" s="121"/>
      <c r="AH11" s="121"/>
      <c r="AI11" s="121"/>
      <c r="AJ11" s="121"/>
      <c r="AK11" s="121"/>
      <c r="AL11" s="121"/>
      <c r="AM11" s="3"/>
      <c r="AN11" s="3"/>
      <c r="AO11" s="3"/>
      <c r="AP11" s="3"/>
      <c r="AQ11" s="3"/>
      <c r="AR11" s="2"/>
      <c r="AS11" s="2"/>
      <c r="AT11" s="3"/>
      <c r="AU11" s="3"/>
      <c r="AV11" s="3"/>
      <c r="AW11" s="23"/>
      <c r="AX11" s="23"/>
      <c r="AY11" s="3"/>
      <c r="AZ11" s="23"/>
      <c r="BA11" s="15"/>
      <c r="BB11" s="19"/>
      <c r="BC11" s="23"/>
      <c r="BD11" s="24">
        <v>2</v>
      </c>
      <c r="BE11" s="24" t="str">
        <f>VLOOKUP(1100,ls!$B:$E,$BA$2,TRUE)</f>
        <v>男</v>
      </c>
      <c r="BF11" s="20" t="str">
        <f>VLOOKUP(1100,ls!$B:$E,$BA$3,TRUE)</f>
        <v>Male</v>
      </c>
      <c r="BG11" s="17" t="str">
        <f>BE11&amp;"  /  "&amp;BF11</f>
        <v>男  /  Male</v>
      </c>
      <c r="BH11" s="17" t="str">
        <f>BE11</f>
        <v>男</v>
      </c>
      <c r="BI11" s="3"/>
      <c r="BJ11" s="3"/>
      <c r="BK11" s="17">
        <v>5</v>
      </c>
      <c r="BL11" s="17" t="str">
        <f>VLOOKUP(5,ls!$B:$E,$BA$2,TRUE)</f>
        <v>東京学士学院</v>
      </c>
      <c r="BM11" s="20" t="str">
        <f>VLOOKUP(5,ls!$B:$E,$BA$3,TRUE)</f>
        <v>Tokyo Bachelor College</v>
      </c>
      <c r="BN11" s="17" t="str">
        <f t="shared" si="1"/>
        <v>東京学士学院  /  Tokyo Bachelor College</v>
      </c>
      <c r="BO11" s="17" t="str">
        <f t="shared" si="0"/>
        <v>東京学士学院</v>
      </c>
    </row>
    <row r="12" spans="1:67" ht="15" customHeight="1">
      <c r="A12" s="21"/>
      <c r="B12" s="14"/>
      <c r="C12" s="123" t="str">
        <f>VLOOKUP(1050,ls!$B:$E,$BA$3,TRUE)</f>
        <v>Date of Birth</v>
      </c>
      <c r="D12" s="123"/>
      <c r="E12" s="123"/>
      <c r="F12" s="123"/>
      <c r="G12" s="124" t="str">
        <f>VLOOKUP(1060,ls!$B:$E,$BA$3,TRUE)</f>
        <v>Year</v>
      </c>
      <c r="H12" s="124"/>
      <c r="I12" s="124"/>
      <c r="J12" s="14"/>
      <c r="K12" s="14"/>
      <c r="L12" s="125" t="str">
        <f>VLOOKUP(1070,ls!$B:$E,$BA$3,TRUE)</f>
        <v>Month</v>
      </c>
      <c r="M12" s="125"/>
      <c r="N12" s="14"/>
      <c r="O12" s="14"/>
      <c r="P12" s="125" t="str">
        <f>VLOOKUP(1080,ls!$B:$E,$BA$3,TRUE)</f>
        <v>Day</v>
      </c>
      <c r="Q12" s="125"/>
      <c r="R12" s="14"/>
      <c r="S12" s="14"/>
      <c r="T12" s="14"/>
      <c r="U12" s="14"/>
      <c r="V12" s="14"/>
      <c r="W12" s="14"/>
      <c r="X12" s="123" t="str">
        <f>VLOOKUP(1090,ls!$B:$E,$BA$3,TRUE)</f>
        <v>Sex</v>
      </c>
      <c r="Y12" s="123"/>
      <c r="Z12" s="123"/>
      <c r="AA12" s="122"/>
      <c r="AB12" s="122"/>
      <c r="AC12" s="122"/>
      <c r="AD12" s="122"/>
      <c r="AE12" s="122"/>
      <c r="AF12" s="122"/>
      <c r="AG12" s="122"/>
      <c r="AH12" s="122"/>
      <c r="AI12" s="122"/>
      <c r="AJ12" s="122"/>
      <c r="AK12" s="122"/>
      <c r="AL12" s="122"/>
      <c r="AM12" s="3"/>
      <c r="AN12" s="3"/>
      <c r="AO12" s="3"/>
      <c r="AP12" s="3"/>
      <c r="AQ12" s="14"/>
      <c r="AR12" s="22"/>
      <c r="AS12" s="22"/>
      <c r="AT12" s="3"/>
      <c r="AU12" s="3"/>
      <c r="AV12" s="3"/>
      <c r="AW12" s="23"/>
      <c r="AX12" s="3"/>
      <c r="AY12" s="3"/>
      <c r="AZ12" s="3"/>
      <c r="BA12" s="15"/>
      <c r="BB12" s="19"/>
      <c r="BC12" s="3"/>
      <c r="BD12" s="20">
        <v>3</v>
      </c>
      <c r="BE12" s="20" t="str">
        <f>VLOOKUP(1110,ls!$B:$E,$BA$2,TRUE)</f>
        <v>女</v>
      </c>
      <c r="BF12" s="20" t="str">
        <f>VLOOKUP(1110,ls!$B:$E,$BA$3,TRUE)</f>
        <v>Female</v>
      </c>
      <c r="BG12" s="17" t="str">
        <f>BE12&amp;"  /  "&amp;BF12</f>
        <v>女  /  Female</v>
      </c>
      <c r="BH12" s="17" t="str">
        <f>BE12</f>
        <v>女</v>
      </c>
      <c r="BI12" s="14"/>
      <c r="BJ12" s="14"/>
      <c r="BK12" s="17">
        <v>6</v>
      </c>
      <c r="BL12" s="17" t="str">
        <f>VLOOKUP(6,ls!$B:$E,$BA$2,TRUE)</f>
        <v>東京学士学院</v>
      </c>
      <c r="BM12" s="20" t="str">
        <f>VLOOKUP(6,ls!$B:$E,$BA$3,TRUE)</f>
        <v>Tokyo Bachelor College</v>
      </c>
      <c r="BN12" s="17" t="str">
        <f t="shared" si="1"/>
        <v>東京学士学院  /  Tokyo Bachelor College</v>
      </c>
      <c r="BO12" s="17" t="str">
        <f t="shared" si="0"/>
        <v>東京学士学院</v>
      </c>
    </row>
    <row r="13" spans="1:67" ht="9.9499999999999993" customHeight="1">
      <c r="A13" s="4"/>
      <c r="B13" s="3"/>
      <c r="C13" s="19"/>
      <c r="D13" s="19"/>
      <c r="E13" s="19"/>
      <c r="F13" s="19"/>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2"/>
      <c r="AS13" s="2"/>
      <c r="AT13" s="3"/>
      <c r="AU13" s="3"/>
      <c r="AV13" s="3"/>
      <c r="AW13" s="3"/>
      <c r="AX13" s="3"/>
      <c r="AY13" s="3"/>
      <c r="AZ13" s="3"/>
      <c r="BA13" s="3"/>
      <c r="BB13" s="3"/>
      <c r="BC13" s="3"/>
      <c r="BD13" s="5"/>
      <c r="BE13" s="5"/>
      <c r="BF13" s="5"/>
      <c r="BG13" s="5"/>
      <c r="BH13" s="5"/>
      <c r="BI13" s="3"/>
      <c r="BJ13" s="3"/>
      <c r="BK13" s="17">
        <v>7</v>
      </c>
      <c r="BL13" s="17" t="str">
        <f>VLOOKUP(7,ls!$B:$E,$BA$2,TRUE)</f>
        <v>東京学士学院</v>
      </c>
      <c r="BM13" s="20" t="str">
        <f>VLOOKUP(7,ls!$B:$E,$BA$3,TRUE)</f>
        <v>Tokyo Bachelor College</v>
      </c>
      <c r="BN13" s="17" t="str">
        <f t="shared" si="1"/>
        <v>東京学士学院  /  Tokyo Bachelor College</v>
      </c>
      <c r="BO13" s="17" t="str">
        <f t="shared" si="0"/>
        <v>東京学士学院</v>
      </c>
    </row>
    <row r="14" spans="1:67" ht="15" customHeight="1">
      <c r="A14" s="4">
        <v>5</v>
      </c>
      <c r="B14" s="3" t="s">
        <v>9</v>
      </c>
      <c r="C14" s="119" t="str">
        <f>VLOOKUP(1120,ls!$B:$E,$BA$2,TRUE)</f>
        <v>现在地址</v>
      </c>
      <c r="D14" s="119"/>
      <c r="E14" s="119"/>
      <c r="F14" s="119"/>
      <c r="G14" s="358"/>
      <c r="H14" s="358"/>
      <c r="I14" s="358"/>
      <c r="J14" s="358"/>
      <c r="K14" s="358"/>
      <c r="L14" s="358"/>
      <c r="M14" s="358"/>
      <c r="N14" s="358"/>
      <c r="O14" s="358"/>
      <c r="P14" s="358"/>
      <c r="Q14" s="358"/>
      <c r="R14" s="358"/>
      <c r="S14" s="358"/>
      <c r="T14" s="358"/>
      <c r="U14" s="358"/>
      <c r="V14" s="358"/>
      <c r="W14" s="358"/>
      <c r="X14" s="358"/>
      <c r="Y14" s="358"/>
      <c r="Z14" s="358"/>
      <c r="AA14" s="358"/>
      <c r="AB14" s="358"/>
      <c r="AC14" s="21" t="s">
        <v>10</v>
      </c>
      <c r="AD14" s="119" t="str">
        <f>VLOOKUP(1140,ls!$B:$E,$BA$2,TRUE)</f>
        <v>出生地</v>
      </c>
      <c r="AE14" s="119"/>
      <c r="AF14" s="119"/>
      <c r="AG14" s="119"/>
      <c r="AH14" s="351"/>
      <c r="AI14" s="351"/>
      <c r="AJ14" s="351"/>
      <c r="AK14" s="351"/>
      <c r="AL14" s="3"/>
      <c r="AM14" s="351"/>
      <c r="AN14" s="351"/>
      <c r="AO14" s="351"/>
      <c r="AP14" s="351"/>
      <c r="AQ14" s="25" t="s">
        <v>11</v>
      </c>
      <c r="AR14" s="2"/>
      <c r="AS14" s="2"/>
      <c r="AT14" s="2"/>
      <c r="AU14" s="3"/>
      <c r="AV14" s="3"/>
      <c r="AW14" s="3"/>
      <c r="AX14" s="3"/>
      <c r="AY14" s="3"/>
      <c r="AZ14" s="3"/>
      <c r="BA14" s="3"/>
      <c r="BB14" s="3"/>
      <c r="BC14" s="3"/>
      <c r="BD14" s="5"/>
      <c r="BE14" s="5"/>
      <c r="BF14" s="5"/>
      <c r="BG14" s="5"/>
      <c r="BH14" s="5"/>
      <c r="BI14" s="3"/>
      <c r="BJ14" s="3"/>
      <c r="BK14" s="3"/>
      <c r="BL14" s="3"/>
      <c r="BM14" s="3"/>
      <c r="BN14" s="3"/>
      <c r="BO14" s="3"/>
    </row>
    <row r="15" spans="1:67" ht="15" customHeight="1">
      <c r="A15" s="6"/>
      <c r="B15" s="26"/>
      <c r="C15" s="123" t="str">
        <f>VLOOKUP(1120,ls!$B:$E,$BA$3,TRUE)</f>
        <v>Present Address</v>
      </c>
      <c r="D15" s="123"/>
      <c r="E15" s="123"/>
      <c r="F15" s="123"/>
      <c r="G15" s="125" t="str">
        <f>"(" &amp; VLOOKUP(1130,ls!$B:$E,$BA$2,TRUE)</f>
        <v>(户口所在地</v>
      </c>
      <c r="H15" s="125"/>
      <c r="I15" s="125"/>
      <c r="J15" s="125"/>
      <c r="K15" s="125"/>
      <c r="L15" s="359"/>
      <c r="M15" s="359"/>
      <c r="N15" s="359"/>
      <c r="O15" s="359"/>
      <c r="P15" s="359"/>
      <c r="Q15" s="359"/>
      <c r="R15" s="359"/>
      <c r="S15" s="359"/>
      <c r="T15" s="359"/>
      <c r="U15" s="359"/>
      <c r="V15" s="359"/>
      <c r="W15" s="359"/>
      <c r="X15" s="359"/>
      <c r="Y15" s="359"/>
      <c r="Z15" s="359"/>
      <c r="AA15" s="359"/>
      <c r="AB15" s="25" t="s">
        <v>11</v>
      </c>
      <c r="AC15" s="25"/>
      <c r="AD15" s="123" t="str">
        <f>VLOOKUP(1140,ls!$B:$E,$BA$3,TRUE)</f>
        <v>Place of Birth</v>
      </c>
      <c r="AE15" s="123"/>
      <c r="AF15" s="123"/>
      <c r="AG15" s="123"/>
      <c r="AH15" s="125" t="str">
        <f>VLOOKUP(1150,ls!$B:$E,$BA$2,TRUE)&amp;"("&amp;VLOOKUP(1150,ls!$B:$E,$BA$3,TRUE)&amp;")"</f>
        <v>省(State)</v>
      </c>
      <c r="AI15" s="125"/>
      <c r="AJ15" s="125"/>
      <c r="AK15" s="125"/>
      <c r="AL15" s="22"/>
      <c r="AM15" s="125" t="str">
        <f>VLOOKUP(1160,ls!$B:$E,$BA$2,TRUE)&amp;"("&amp;VLOOKUP(1160,ls!$B:$E,$BA$3,TRUE)&amp;")"</f>
        <v>市(City)</v>
      </c>
      <c r="AN15" s="125"/>
      <c r="AO15" s="125"/>
      <c r="AP15" s="125"/>
      <c r="AQ15" s="14"/>
      <c r="AR15" s="27"/>
      <c r="AS15" s="27"/>
      <c r="AT15" s="3"/>
      <c r="AU15" s="3"/>
      <c r="AV15" s="3"/>
      <c r="AW15" s="23"/>
      <c r="AX15" s="23"/>
      <c r="AY15" s="3"/>
      <c r="AZ15" s="23"/>
      <c r="BA15" s="26"/>
      <c r="BB15" s="26"/>
      <c r="BC15" s="26"/>
      <c r="BD15" s="26"/>
      <c r="BE15" s="26"/>
      <c r="BF15" s="26"/>
      <c r="BG15" s="26"/>
      <c r="BH15" s="26"/>
      <c r="BI15" s="26"/>
      <c r="BJ15" s="26"/>
      <c r="BK15" s="26"/>
      <c r="BL15" s="26"/>
      <c r="BM15" s="26"/>
      <c r="BN15" s="26"/>
      <c r="BO15" s="26"/>
    </row>
    <row r="16" spans="1:67" ht="9.9499999999999993" customHeight="1">
      <c r="A16" s="6"/>
      <c r="B16" s="26"/>
      <c r="C16" s="25"/>
      <c r="D16" s="25"/>
      <c r="E16" s="25"/>
      <c r="F16" s="25"/>
      <c r="G16" s="26"/>
      <c r="H16" s="26"/>
      <c r="I16" s="26"/>
      <c r="J16" s="26"/>
      <c r="K16" s="26"/>
      <c r="L16" s="28"/>
      <c r="M16" s="126" t="str">
        <f>"*"&amp;VLOOKUP(1130,ls!$B:$E,$BA$3,TRUE)</f>
        <v>*Register Address</v>
      </c>
      <c r="N16" s="126"/>
      <c r="O16" s="126"/>
      <c r="P16" s="126"/>
      <c r="Q16" s="126"/>
      <c r="R16" s="126"/>
      <c r="S16" s="126"/>
      <c r="T16" s="126"/>
      <c r="U16" s="126"/>
      <c r="V16" s="126"/>
      <c r="W16" s="126"/>
      <c r="X16" s="126"/>
      <c r="Y16" s="126"/>
      <c r="Z16" s="126"/>
      <c r="AA16" s="126"/>
      <c r="AB16" s="26"/>
      <c r="AC16" s="26"/>
      <c r="AD16" s="26"/>
      <c r="AE16" s="26"/>
      <c r="AF16" s="26"/>
      <c r="AG16" s="26"/>
      <c r="AH16" s="26"/>
      <c r="AI16" s="26"/>
      <c r="AJ16" s="26"/>
      <c r="AK16" s="26"/>
      <c r="AL16" s="26"/>
      <c r="AM16" s="26"/>
      <c r="AN16" s="26"/>
      <c r="AO16" s="26"/>
      <c r="AP16" s="26"/>
      <c r="AQ16" s="26"/>
      <c r="AR16" s="27"/>
      <c r="AS16" s="27"/>
      <c r="AT16" s="3"/>
      <c r="AU16" s="3"/>
      <c r="AV16" s="3"/>
      <c r="AW16" s="23"/>
      <c r="AX16" s="23"/>
      <c r="AY16" s="14"/>
      <c r="AZ16" s="23"/>
      <c r="BA16" s="9">
        <v>1</v>
      </c>
      <c r="BB16" s="10" t="str">
        <f>INDEX(BH16:BH18,BA16)</f>
        <v xml:space="preserve"> </v>
      </c>
      <c r="BC16" s="23"/>
      <c r="BD16" s="20">
        <v>1</v>
      </c>
      <c r="BE16" s="20" t="s">
        <v>8</v>
      </c>
      <c r="BF16" s="20"/>
      <c r="BG16" s="17" t="str">
        <f>VLOOKUP(100,ls!$B:$E,$BA$2,TRUE)&amp;" / "&amp;VLOOKUP(100,ls!$B:$E,$BA$3,TRUE)</f>
        <v>未选择 / Unselected</v>
      </c>
      <c r="BH16" s="17" t="str">
        <f>BE16</f>
        <v xml:space="preserve"> </v>
      </c>
      <c r="BI16" s="26"/>
      <c r="BJ16" s="26"/>
      <c r="BK16" s="26"/>
      <c r="BL16" s="26"/>
      <c r="BM16" s="26"/>
      <c r="BN16" s="26"/>
      <c r="BO16" s="26"/>
    </row>
    <row r="17" spans="1:67" ht="15" customHeight="1" thickBot="1">
      <c r="A17" s="4">
        <v>6</v>
      </c>
      <c r="B17" s="3" t="s">
        <v>9</v>
      </c>
      <c r="C17" s="119" t="str">
        <f>VLOOKUP(1170,ls!$B:$E,$BA$2,TRUE)</f>
        <v>婚姻状况</v>
      </c>
      <c r="D17" s="119"/>
      <c r="E17" s="119"/>
      <c r="F17" s="119"/>
      <c r="G17" s="3"/>
      <c r="H17" s="3"/>
      <c r="I17" s="127" t="str">
        <f>BB16</f>
        <v xml:space="preserve"> </v>
      </c>
      <c r="J17" s="120"/>
      <c r="K17" s="120"/>
      <c r="L17" s="120"/>
      <c r="M17" s="120"/>
      <c r="N17" s="120"/>
      <c r="O17" s="3"/>
      <c r="P17" s="3"/>
      <c r="Q17" s="3"/>
      <c r="R17" s="21" t="s">
        <v>12</v>
      </c>
      <c r="S17" s="119" t="str">
        <f>VLOOKUP(1200,ls!$B:$E,$BA$2,TRUE)</f>
        <v>结婚对象者姓名</v>
      </c>
      <c r="T17" s="119"/>
      <c r="U17" s="119"/>
      <c r="V17" s="119"/>
      <c r="W17" s="119"/>
      <c r="X17" s="119"/>
      <c r="Y17" s="351"/>
      <c r="Z17" s="351"/>
      <c r="AA17" s="351"/>
      <c r="AB17" s="351"/>
      <c r="AC17" s="351"/>
      <c r="AD17" s="351"/>
      <c r="AE17" s="351"/>
      <c r="AF17" s="351"/>
      <c r="AG17" s="351"/>
      <c r="AH17" s="351"/>
      <c r="AI17" s="351"/>
      <c r="AJ17" s="351"/>
      <c r="AK17" s="351"/>
      <c r="AL17" s="351"/>
      <c r="AM17" s="351"/>
      <c r="AN17" s="351"/>
      <c r="AO17" s="351"/>
      <c r="AP17" s="351"/>
      <c r="AQ17" s="14" t="s">
        <v>11</v>
      </c>
      <c r="AR17" s="2"/>
      <c r="AS17" s="2"/>
      <c r="AT17" s="3"/>
      <c r="AU17" s="3"/>
      <c r="AV17" s="3"/>
      <c r="AW17" s="23"/>
      <c r="AX17" s="23"/>
      <c r="AY17" s="3"/>
      <c r="AZ17" s="23"/>
      <c r="BA17" s="14"/>
      <c r="BB17" s="14"/>
      <c r="BC17" s="23"/>
      <c r="BD17" s="24">
        <v>2</v>
      </c>
      <c r="BE17" s="24" t="str">
        <f>VLOOKUP(1180,ls!$B:$E,$BA$2,TRUE)</f>
        <v>未婚</v>
      </c>
      <c r="BF17" s="20" t="str">
        <f>VLOOKUP(1180,ls!$B:$E,$BA$3,TRUE)</f>
        <v>Single</v>
      </c>
      <c r="BG17" s="17" t="str">
        <f>BE17&amp;"  /  "&amp;BF17</f>
        <v>未婚  /  Single</v>
      </c>
      <c r="BH17" s="17" t="str">
        <f>BE17</f>
        <v>未婚</v>
      </c>
      <c r="BI17" s="3"/>
      <c r="BJ17" s="3"/>
      <c r="BK17" s="3"/>
      <c r="BL17" s="3"/>
      <c r="BM17" s="3"/>
      <c r="BN17" s="3"/>
      <c r="BO17" s="3"/>
    </row>
    <row r="18" spans="1:67" ht="15" customHeight="1">
      <c r="A18" s="21"/>
      <c r="B18" s="14"/>
      <c r="C18" s="123" t="str">
        <f>VLOOKUP(1170,ls!$B:$E,$BA$3,TRUE)</f>
        <v>Marriage Status</v>
      </c>
      <c r="D18" s="123"/>
      <c r="E18" s="123"/>
      <c r="F18" s="123"/>
      <c r="G18" s="14"/>
      <c r="H18" s="14"/>
      <c r="I18" s="128"/>
      <c r="J18" s="128"/>
      <c r="K18" s="128"/>
      <c r="L18" s="128"/>
      <c r="M18" s="128"/>
      <c r="N18" s="128"/>
      <c r="O18" s="14"/>
      <c r="P18" s="14"/>
      <c r="Q18" s="14"/>
      <c r="R18" s="14"/>
      <c r="S18" s="123" t="str">
        <f>VLOOKUP(1200,ls!$B:$E,$BA$3,TRUE)</f>
        <v>Name of Spouse</v>
      </c>
      <c r="T18" s="123"/>
      <c r="U18" s="123"/>
      <c r="V18" s="123"/>
      <c r="W18" s="123"/>
      <c r="X18" s="123"/>
      <c r="Y18" s="14"/>
      <c r="Z18" s="14"/>
      <c r="AA18" s="14"/>
      <c r="AB18" s="14"/>
      <c r="AC18" s="14"/>
      <c r="AD18" s="14"/>
      <c r="AE18" s="14"/>
      <c r="AF18" s="14"/>
      <c r="AG18" s="14"/>
      <c r="AH18" s="14"/>
      <c r="AI18" s="14"/>
      <c r="AJ18" s="14"/>
      <c r="AK18" s="14"/>
      <c r="AL18" s="14"/>
      <c r="AM18" s="14"/>
      <c r="AN18" s="14"/>
      <c r="AO18" s="14"/>
      <c r="AP18" s="14"/>
      <c r="AQ18" s="14"/>
      <c r="AR18" s="22"/>
      <c r="AS18" s="22"/>
      <c r="AT18" s="14"/>
      <c r="AU18" s="14"/>
      <c r="AV18" s="14"/>
      <c r="AW18" s="14"/>
      <c r="AX18" s="14"/>
      <c r="AY18" s="14"/>
      <c r="AZ18" s="14"/>
      <c r="BA18" s="15"/>
      <c r="BB18" s="19"/>
      <c r="BC18" s="23"/>
      <c r="BD18" s="20">
        <v>3</v>
      </c>
      <c r="BE18" s="20" t="str">
        <f>VLOOKUP(1190,ls!$B:$E,$BA$2,TRUE)</f>
        <v>已婚</v>
      </c>
      <c r="BF18" s="20" t="str">
        <f>VLOOKUP(1190,ls!$B:$E,$BA$3,TRUE)</f>
        <v>Married</v>
      </c>
      <c r="BG18" s="17" t="str">
        <f>BE18&amp;"  /  "&amp;BF18</f>
        <v>已婚  /  Married</v>
      </c>
      <c r="BH18" s="17" t="str">
        <f>BE18</f>
        <v>已婚</v>
      </c>
      <c r="BI18" s="14"/>
      <c r="BJ18" s="14"/>
      <c r="BK18" s="14"/>
      <c r="BL18" s="14"/>
      <c r="BM18" s="14"/>
      <c r="BN18" s="14"/>
      <c r="BO18" s="14"/>
    </row>
    <row r="19" spans="1:67" ht="9.9499999999999993" customHeight="1">
      <c r="A19" s="4"/>
      <c r="B19" s="3"/>
      <c r="C19" s="19"/>
      <c r="D19" s="19"/>
      <c r="E19" s="19"/>
      <c r="F19" s="19"/>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2"/>
      <c r="AS19" s="2"/>
      <c r="AT19" s="3"/>
      <c r="AU19" s="14"/>
      <c r="AV19" s="14"/>
      <c r="AW19" s="14"/>
      <c r="AX19" s="3"/>
      <c r="AY19" s="3"/>
      <c r="AZ19" s="3"/>
      <c r="BA19" s="3"/>
      <c r="BB19" s="3"/>
      <c r="BC19" s="3"/>
      <c r="BD19" s="5"/>
      <c r="BE19" s="5"/>
      <c r="BF19" s="5"/>
      <c r="BG19" s="5"/>
      <c r="BH19" s="5"/>
      <c r="BI19" s="3"/>
      <c r="BJ19" s="3"/>
      <c r="BK19" s="20">
        <v>1</v>
      </c>
      <c r="BL19" s="29" t="s">
        <v>8</v>
      </c>
      <c r="BM19" s="29" t="s">
        <v>8</v>
      </c>
      <c r="BN19" s="17" t="str">
        <f>VLOOKUP(100,ls!$B:$E,$BA$2,TRUE)&amp;" / "&amp;VLOOKUP(100,ls!$B:$E,$BA$3,TRUE)</f>
        <v>未选择 / Unselected</v>
      </c>
      <c r="BO19" s="20" t="str">
        <f>BL19</f>
        <v xml:space="preserve"> </v>
      </c>
    </row>
    <row r="20" spans="1:67" ht="15" customHeight="1">
      <c r="A20" s="4">
        <v>7</v>
      </c>
      <c r="B20" s="3" t="s">
        <v>9</v>
      </c>
      <c r="C20" s="119" t="str">
        <f>VLOOKUP(1210,ls!$B:$E,$BA$2,TRUE)</f>
        <v>家族</v>
      </c>
      <c r="D20" s="119"/>
      <c r="E20" s="119"/>
      <c r="F20" s="19"/>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2"/>
      <c r="AS20" s="2"/>
      <c r="AT20" s="3"/>
      <c r="AU20" s="30" t="str">
        <f>"【１】"&amp;VLOOKUP(2290,ls!$B:$E,$BA$2,TRUE) &amp; " / " &amp; VLOOKUP(2290,ls!$B:$E,$BA$3,TRUE)</f>
        <v>【１】关系 / Relationship</v>
      </c>
      <c r="AV20" s="3"/>
      <c r="AW20" s="30" t="str">
        <f>"【２】"&amp;VLOOKUP(2290,ls!$B:$E,$BA$2,TRUE) &amp; " / " &amp; VLOOKUP(2290,ls!$B:$E,$BA$3,TRUE)</f>
        <v>【２】关系 / Relationship</v>
      </c>
      <c r="AX20" s="19"/>
      <c r="AY20" s="3"/>
      <c r="AZ20" s="3"/>
      <c r="BA20" s="3"/>
      <c r="BB20" s="3"/>
      <c r="BC20" s="2"/>
      <c r="BD20" s="2"/>
      <c r="BE20" s="3"/>
      <c r="BF20" s="2"/>
      <c r="BG20" s="2"/>
      <c r="BH20" s="2"/>
      <c r="BI20" s="2"/>
      <c r="BJ20" s="2"/>
      <c r="BK20" s="20">
        <v>2</v>
      </c>
      <c r="BL20" s="29" t="str">
        <f>VLOOKUP(2305,ls!$B:$E,$BA$2,TRUE)</f>
        <v>本人</v>
      </c>
      <c r="BM20" s="29" t="str">
        <f>VLOOKUP(2305,ls!$B:$E,$BA$3,TRUE)</f>
        <v>Myself</v>
      </c>
      <c r="BN20" s="17" t="str">
        <f>BL20 &amp;"  /  " &amp; BM20</f>
        <v>本人  /  Myself</v>
      </c>
      <c r="BO20" s="20" t="str">
        <f t="shared" ref="BO20:BO39" si="2">BL20</f>
        <v>本人</v>
      </c>
    </row>
    <row r="21" spans="1:67" ht="15" customHeight="1">
      <c r="A21" s="4"/>
      <c r="B21" s="3"/>
      <c r="C21" s="124" t="str">
        <f>VLOOKUP(1210,ls!$B:$E,$BA$3,TRUE)</f>
        <v>Family</v>
      </c>
      <c r="D21" s="124"/>
      <c r="E21" s="120" t="str">
        <f>VLOOKUP(1030,ls!$B:$E,$BA$2,TRUE)</f>
        <v>姓</v>
      </c>
      <c r="F21" s="120"/>
      <c r="G21" s="120"/>
      <c r="H21" s="120"/>
      <c r="I21" s="120"/>
      <c r="J21" s="120"/>
      <c r="K21" s="120"/>
      <c r="L21" s="3"/>
      <c r="M21" s="120" t="str">
        <f>VLOOKUP(1040,ls!$B:$E,$BA$2,TRUE)</f>
        <v>名</v>
      </c>
      <c r="N21" s="120"/>
      <c r="O21" s="120"/>
      <c r="P21" s="120"/>
      <c r="Q21" s="120"/>
      <c r="R21" s="120"/>
      <c r="S21" s="120"/>
      <c r="T21" s="3"/>
      <c r="U21" s="119" t="str">
        <f>VLOOKUP(1120,ls!$B:$E,$BA$2,TRUE)&amp;"("&amp;VLOOKUP(1120,ls!$B:$E,$BA$3,TRUE)&amp;")"</f>
        <v>现在地址(Present Address)</v>
      </c>
      <c r="V21" s="119"/>
      <c r="W21" s="119"/>
      <c r="X21" s="119"/>
      <c r="Y21" s="119"/>
      <c r="Z21" s="119"/>
      <c r="AA21" s="119"/>
      <c r="AB21" s="119"/>
      <c r="AC21" s="119"/>
      <c r="AD21" s="119"/>
      <c r="AE21" s="119"/>
      <c r="AF21" s="119"/>
      <c r="AG21" s="119"/>
      <c r="AH21" s="119"/>
      <c r="AI21" s="119"/>
      <c r="AJ21" s="119"/>
      <c r="AK21" s="119"/>
      <c r="AL21" s="3"/>
      <c r="AM21" s="120" t="str">
        <f>VLOOKUP(1250,ls!$B:$E,$BA$2,TRUE)</f>
        <v>职业</v>
      </c>
      <c r="AN21" s="120"/>
      <c r="AO21" s="120"/>
      <c r="AP21" s="120"/>
      <c r="AQ21" s="120"/>
      <c r="AR21" s="129" t="str">
        <f>VLOOKUP(1218,ls!$B:$E,$BA$2,TRUE)</f>
        <v>支付人</v>
      </c>
      <c r="AS21" s="129"/>
      <c r="AT21" s="3"/>
      <c r="AU21" s="14"/>
      <c r="AV21" s="2"/>
      <c r="AW21" s="14"/>
      <c r="AX21" s="19"/>
      <c r="AY21" s="3"/>
      <c r="AZ21" s="3"/>
      <c r="BA21" s="9">
        <v>1</v>
      </c>
      <c r="BB21" s="10" t="str">
        <f>IF(BA21=BK39,AU35,INDEX(BO19:BO39,BA21))</f>
        <v xml:space="preserve"> </v>
      </c>
      <c r="BC21" s="3"/>
      <c r="BD21" s="130" t="str">
        <f>"*" &amp; VLOOKUP(1211,ls!$B:$E,$BA$2,TRUE) &amp;" /  "&amp; VLOOKUP(1211,ls!$B:$E,$BA$3,TRUE)</f>
        <v>*请先输入支付人信息 /  経費支弁者を最初に記入してください。</v>
      </c>
      <c r="BE21" s="130"/>
      <c r="BF21" s="130"/>
      <c r="BG21" s="130"/>
      <c r="BH21" s="130"/>
      <c r="BI21" s="3"/>
      <c r="BJ21" s="3"/>
      <c r="BK21" s="20">
        <v>3</v>
      </c>
      <c r="BL21" s="29" t="str">
        <f>VLOOKUP(2310,ls!$B:$E,$BA$2,TRUE)</f>
        <v>丈夫</v>
      </c>
      <c r="BM21" s="29" t="str">
        <f>VLOOKUP(2310,ls!$B:$E,$BA$3,TRUE)</f>
        <v>Husband</v>
      </c>
      <c r="BN21" s="17" t="str">
        <f>BL21 &amp;"  /  " &amp; BM21</f>
        <v>丈夫  /  Husband</v>
      </c>
      <c r="BO21" s="20" t="str">
        <f t="shared" si="2"/>
        <v>丈夫</v>
      </c>
    </row>
    <row r="22" spans="1:67" ht="15" customHeight="1">
      <c r="A22" s="21"/>
      <c r="B22" s="14"/>
      <c r="C22" s="14"/>
      <c r="D22" s="14"/>
      <c r="E22" s="124" t="str">
        <f>"("&amp;VLOOKUP(1030,ls!$B:$E,$BA$3,TRUE)&amp;")"</f>
        <v>(Family name)</v>
      </c>
      <c r="F22" s="124"/>
      <c r="G22" s="124"/>
      <c r="H22" s="124"/>
      <c r="I22" s="124"/>
      <c r="J22" s="124"/>
      <c r="K22" s="124"/>
      <c r="L22" s="3"/>
      <c r="M22" s="124" t="str">
        <f>"("&amp;VLOOKUP(1040,ls!$B:$E,$BA$3,TRUE)&amp;")"</f>
        <v>(Middle, Given name)</v>
      </c>
      <c r="N22" s="124"/>
      <c r="O22" s="124"/>
      <c r="P22" s="124"/>
      <c r="Q22" s="124"/>
      <c r="R22" s="124"/>
      <c r="S22" s="124"/>
      <c r="T22" s="14"/>
      <c r="U22" s="119"/>
      <c r="V22" s="119"/>
      <c r="W22" s="119"/>
      <c r="X22" s="119"/>
      <c r="Y22" s="119"/>
      <c r="Z22" s="119"/>
      <c r="AA22" s="119"/>
      <c r="AB22" s="119"/>
      <c r="AC22" s="119"/>
      <c r="AD22" s="119"/>
      <c r="AE22" s="119"/>
      <c r="AF22" s="119"/>
      <c r="AG22" s="119"/>
      <c r="AH22" s="119"/>
      <c r="AI22" s="119"/>
      <c r="AJ22" s="119"/>
      <c r="AK22" s="119"/>
      <c r="AL22" s="14"/>
      <c r="AM22" s="124" t="str">
        <f>"("&amp;VLOOKUP(1250,ls!$B:$E,$BA$3,TRUE)&amp;")"</f>
        <v>(Occupation)</v>
      </c>
      <c r="AN22" s="124"/>
      <c r="AO22" s="124"/>
      <c r="AP22" s="124"/>
      <c r="AQ22" s="124"/>
      <c r="AR22" s="129"/>
      <c r="AS22" s="129"/>
      <c r="AT22" s="3"/>
      <c r="AU22" s="3"/>
      <c r="AV22" s="2"/>
      <c r="AW22" s="3"/>
      <c r="AX22" s="19"/>
      <c r="AY22" s="3"/>
      <c r="AZ22" s="3"/>
      <c r="BA22" s="3"/>
      <c r="BB22" s="3"/>
      <c r="BC22" s="14"/>
      <c r="BD22" s="130" t="str">
        <f>IF(E25="",VLOOKUP(1215,ls!$B:$E,$BA$2,TRUE) &amp; "(" &amp; VLOOKUP(1215,ls!$B:$E,$BA$3,TRUE)&amp;")","")</f>
        <v>此行输入支付人信息(Sponsor1)</v>
      </c>
      <c r="BE22" s="130"/>
      <c r="BF22" s="130"/>
      <c r="BG22" s="130"/>
      <c r="BH22" s="130"/>
      <c r="BI22" s="14"/>
      <c r="BJ22" s="14"/>
      <c r="BK22" s="20">
        <v>4</v>
      </c>
      <c r="BL22" s="29" t="str">
        <f>VLOOKUP(2320,ls!$B:$E,$BA$2,TRUE)</f>
        <v>妻子</v>
      </c>
      <c r="BM22" s="29" t="str">
        <f>VLOOKUP(2320,ls!$B:$E,$BA$3,TRUE)</f>
        <v>Wife</v>
      </c>
      <c r="BN22" s="17" t="str">
        <f t="shared" ref="BN22:BN39" si="3">BL22 &amp;"  /  " &amp; BM22</f>
        <v>妻子  /  Wife</v>
      </c>
      <c r="BO22" s="20" t="str">
        <f t="shared" si="2"/>
        <v>妻子</v>
      </c>
    </row>
    <row r="23" spans="1:67" ht="15" customHeight="1">
      <c r="A23" s="21"/>
      <c r="B23" s="14"/>
      <c r="C23" s="14"/>
      <c r="D23" s="14"/>
      <c r="E23" s="120" t="str">
        <f>VLOOKUP(1010,ls!$B:$E,$BA$2,TRUE)</f>
        <v>国籍</v>
      </c>
      <c r="F23" s="120"/>
      <c r="G23" s="120"/>
      <c r="H23" s="3"/>
      <c r="I23" s="120" t="str">
        <f>VLOOKUP(1255,ls!$B:$E,$BA$2,TRUE)</f>
        <v>同居有無</v>
      </c>
      <c r="J23" s="120"/>
      <c r="K23" s="120"/>
      <c r="L23" s="3"/>
      <c r="M23" s="120" t="str">
        <f>VLOOKUP(1090,ls!$B:$E,$BA$2,TRUE)</f>
        <v>性別</v>
      </c>
      <c r="N23" s="120"/>
      <c r="O23" s="14"/>
      <c r="P23" s="120" t="str">
        <f>VLOOKUP(1230,ls!$B:$E,$BA$2,TRUE)</f>
        <v>关系</v>
      </c>
      <c r="Q23" s="120"/>
      <c r="R23" s="120"/>
      <c r="S23" s="120"/>
      <c r="T23" s="22"/>
      <c r="U23" s="14"/>
      <c r="V23" s="14"/>
      <c r="W23" s="14"/>
      <c r="X23" s="14"/>
      <c r="Y23" s="14"/>
      <c r="Z23" s="123" t="str">
        <f>VLOOKUP(1130,ls!$B:$E,$BA$2,TRUE)&amp;"("&amp;VLOOKUP(1130,ls!$B:$E,$BA$3,TRUE)&amp;")"</f>
        <v>户口所在地(Register Address)</v>
      </c>
      <c r="AA23" s="123"/>
      <c r="AB23" s="123"/>
      <c r="AC23" s="123"/>
      <c r="AD23" s="123"/>
      <c r="AE23" s="123"/>
      <c r="AF23" s="123"/>
      <c r="AG23" s="123"/>
      <c r="AH23" s="123"/>
      <c r="AI23" s="123"/>
      <c r="AJ23" s="123"/>
      <c r="AK23" s="123"/>
      <c r="AL23" s="123"/>
      <c r="AM23" s="123"/>
      <c r="AN23" s="123"/>
      <c r="AO23" s="123"/>
      <c r="AP23" s="123"/>
      <c r="AQ23" s="123"/>
      <c r="AR23" s="136" t="str">
        <f>VLOOKUP(1218,ls!$B:$E,$BA$3,TRUE)</f>
        <v>Sponsor</v>
      </c>
      <c r="AS23" s="136"/>
      <c r="AT23" s="3"/>
      <c r="AU23" s="3"/>
      <c r="AV23" s="2"/>
      <c r="AW23" s="3"/>
      <c r="AX23" s="19"/>
      <c r="AY23" s="3"/>
      <c r="AZ23" s="3"/>
      <c r="BA23" s="3"/>
      <c r="BB23" s="3"/>
      <c r="BC23" s="14"/>
      <c r="BD23" s="130" t="str">
        <f>IF(E27="",VLOOKUP(1216,ls!$B:$E,$BA$2,TRUE)&amp; "(" &amp; VLOOKUP(1216,ls!$B:$E,$BA$3,TRUE)&amp;")","")</f>
        <v>第二个支付人信息（如果有）(Sponsor2)</v>
      </c>
      <c r="BE23" s="130"/>
      <c r="BF23" s="130"/>
      <c r="BG23" s="130"/>
      <c r="BH23" s="130"/>
      <c r="BI23" s="14"/>
      <c r="BJ23" s="14"/>
      <c r="BK23" s="20">
        <v>5</v>
      </c>
      <c r="BL23" s="29" t="str">
        <f>VLOOKUP(2330,ls!$B:$E,$BA$2,TRUE)</f>
        <v>父亲</v>
      </c>
      <c r="BM23" s="29" t="str">
        <f>VLOOKUP(2330,ls!$B:$E,$BA$3,TRUE)</f>
        <v>Father</v>
      </c>
      <c r="BN23" s="17" t="str">
        <f t="shared" si="3"/>
        <v>父亲  /  Father</v>
      </c>
      <c r="BO23" s="20" t="str">
        <f t="shared" si="2"/>
        <v>父亲</v>
      </c>
    </row>
    <row r="24" spans="1:67" ht="15" customHeight="1">
      <c r="A24" s="21"/>
      <c r="B24" s="14"/>
      <c r="C24" s="14"/>
      <c r="D24" s="14"/>
      <c r="E24" s="124" t="str">
        <f>"("&amp;VLOOKUP(1010,ls!$B:$E,$BA$3,TRUE)&amp;")"</f>
        <v>(Nationality)</v>
      </c>
      <c r="F24" s="124"/>
      <c r="G24" s="124"/>
      <c r="H24" s="14"/>
      <c r="I24" s="124" t="str">
        <f>"("&amp;VLOOKUP(1255,ls!$B:$E,$BA$3,TRUE)&amp;")"</f>
        <v>(Living together)</v>
      </c>
      <c r="J24" s="124"/>
      <c r="K24" s="124"/>
      <c r="L24" s="14"/>
      <c r="M24" s="124" t="str">
        <f>"("&amp;VLOOKUP(1090,ls!$B:$E,$BA$3,TRUE)&amp;")"</f>
        <v>(Sex)</v>
      </c>
      <c r="N24" s="124"/>
      <c r="O24" s="14"/>
      <c r="P24" s="124" t="str">
        <f>VLOOKUP(1230,ls!$B:$E,$BA$3,TRUE)</f>
        <v>Relationship</v>
      </c>
      <c r="Q24" s="124"/>
      <c r="R24" s="124"/>
      <c r="S24" s="124"/>
      <c r="T24" s="22"/>
      <c r="U24" s="14"/>
      <c r="V24" s="14"/>
      <c r="W24" s="14"/>
      <c r="X24" s="14"/>
      <c r="Y24" s="14"/>
      <c r="Z24" s="123"/>
      <c r="AA24" s="123"/>
      <c r="AB24" s="123"/>
      <c r="AC24" s="123"/>
      <c r="AD24" s="123"/>
      <c r="AE24" s="123"/>
      <c r="AF24" s="123"/>
      <c r="AG24" s="123"/>
      <c r="AH24" s="123"/>
      <c r="AI24" s="123"/>
      <c r="AJ24" s="123"/>
      <c r="AK24" s="123"/>
      <c r="AL24" s="123"/>
      <c r="AM24" s="123"/>
      <c r="AN24" s="123"/>
      <c r="AO24" s="123"/>
      <c r="AP24" s="123"/>
      <c r="AQ24" s="123"/>
      <c r="AR24" s="136"/>
      <c r="AS24" s="136"/>
      <c r="AT24" s="3"/>
      <c r="AU24" s="3"/>
      <c r="AV24" s="2"/>
      <c r="AW24" s="3"/>
      <c r="AX24" s="19"/>
      <c r="AY24" s="3"/>
      <c r="AZ24" s="3"/>
      <c r="BA24" s="3"/>
      <c r="BB24" s="3"/>
      <c r="BC24" s="14"/>
      <c r="BD24" s="14"/>
      <c r="BE24" s="3"/>
      <c r="BF24" s="14"/>
      <c r="BG24" s="14"/>
      <c r="BH24" s="14"/>
      <c r="BI24" s="14"/>
      <c r="BJ24" s="14"/>
      <c r="BK24" s="20">
        <v>6</v>
      </c>
      <c r="BL24" s="29" t="str">
        <f>VLOOKUP(2340,ls!$B:$E,$BA$2,TRUE)</f>
        <v>母亲</v>
      </c>
      <c r="BM24" s="29" t="str">
        <f>VLOOKUP(2340,ls!$B:$E,$BA$3,TRUE)</f>
        <v>Mother</v>
      </c>
      <c r="BN24" s="17" t="str">
        <f t="shared" si="3"/>
        <v>母亲  /  Mother</v>
      </c>
      <c r="BO24" s="20" t="str">
        <f t="shared" si="2"/>
        <v>母亲</v>
      </c>
    </row>
    <row r="25" spans="1:67" ht="15" customHeight="1">
      <c r="A25" s="4"/>
      <c r="B25" s="3"/>
      <c r="C25" s="131" t="s">
        <v>13</v>
      </c>
      <c r="D25" s="120"/>
      <c r="E25" s="360"/>
      <c r="F25" s="360"/>
      <c r="G25" s="360"/>
      <c r="H25" s="360"/>
      <c r="I25" s="360"/>
      <c r="J25" s="360"/>
      <c r="K25" s="360"/>
      <c r="L25" s="3"/>
      <c r="M25" s="360"/>
      <c r="N25" s="360"/>
      <c r="O25" s="360"/>
      <c r="P25" s="360"/>
      <c r="Q25" s="360"/>
      <c r="R25" s="360"/>
      <c r="S25" s="360"/>
      <c r="T25" s="3"/>
      <c r="U25" s="358" t="str">
        <f>IF(E25&lt;&gt;"",G14,"")</f>
        <v/>
      </c>
      <c r="V25" s="358"/>
      <c r="W25" s="358"/>
      <c r="X25" s="358"/>
      <c r="Y25" s="358"/>
      <c r="Z25" s="358"/>
      <c r="AA25" s="358"/>
      <c r="AB25" s="358"/>
      <c r="AC25" s="358"/>
      <c r="AD25" s="358"/>
      <c r="AE25" s="358"/>
      <c r="AF25" s="358"/>
      <c r="AG25" s="358"/>
      <c r="AH25" s="358"/>
      <c r="AI25" s="358"/>
      <c r="AJ25" s="358"/>
      <c r="AK25" s="358"/>
      <c r="AL25" s="3"/>
      <c r="AM25" s="351"/>
      <c r="AN25" s="351"/>
      <c r="AO25" s="351"/>
      <c r="AP25" s="351"/>
      <c r="AQ25" s="351"/>
      <c r="AR25" s="31" t="s">
        <v>14</v>
      </c>
      <c r="AS25" s="32" t="s">
        <v>15</v>
      </c>
      <c r="AT25" s="3"/>
      <c r="AU25" s="3"/>
      <c r="AV25" s="2"/>
      <c r="AW25" s="3"/>
      <c r="AX25" s="19"/>
      <c r="AY25" s="3"/>
      <c r="AZ25" s="3"/>
      <c r="BA25" s="9">
        <v>1</v>
      </c>
      <c r="BB25" s="10" t="str">
        <f>IF(BA25=BK39,AW35,INDEX(BO19:BO39,BA25))</f>
        <v xml:space="preserve"> </v>
      </c>
      <c r="BC25" s="3"/>
      <c r="BD25" s="20">
        <v>1</v>
      </c>
      <c r="BE25" s="20" t="s">
        <v>8</v>
      </c>
      <c r="BF25" s="20"/>
      <c r="BG25" s="17"/>
      <c r="BH25" s="17" t="str">
        <f>BE25</f>
        <v xml:space="preserve"> </v>
      </c>
      <c r="BI25" s="3"/>
      <c r="BJ25" s="3"/>
      <c r="BK25" s="20">
        <v>7</v>
      </c>
      <c r="BL25" s="29" t="str">
        <f>VLOOKUP(2350,ls!$B:$E,$BA$2,TRUE)</f>
        <v>祖父</v>
      </c>
      <c r="BM25" s="29" t="str">
        <f>VLOOKUP(2350,ls!$B:$E,$BA$3,TRUE)</f>
        <v>Grandfather</v>
      </c>
      <c r="BN25" s="17" t="str">
        <f t="shared" si="3"/>
        <v>祖父  /  Grandfather</v>
      </c>
      <c r="BO25" s="20" t="str">
        <f t="shared" si="2"/>
        <v>祖父</v>
      </c>
    </row>
    <row r="26" spans="1:67" ht="15" customHeight="1">
      <c r="A26" s="3"/>
      <c r="B26" s="3"/>
      <c r="C26" s="3"/>
      <c r="D26" s="3"/>
      <c r="E26" s="361"/>
      <c r="F26" s="361"/>
      <c r="G26" s="361"/>
      <c r="H26" s="3"/>
      <c r="I26" s="133" t="str">
        <f>IF(E25&lt;&gt;"",IF($G$14=U25,$BE$26,$BE$27),"")</f>
        <v/>
      </c>
      <c r="J26" s="133"/>
      <c r="K26" s="133"/>
      <c r="L26" s="3"/>
      <c r="M26" s="361"/>
      <c r="N26" s="361"/>
      <c r="O26" s="3"/>
      <c r="P26" s="134" t="str">
        <f>BB21</f>
        <v xml:space="preserve"> </v>
      </c>
      <c r="Q26" s="134"/>
      <c r="R26" s="134"/>
      <c r="S26" s="134"/>
      <c r="T26" s="3"/>
      <c r="U26" s="135" t="str">
        <f>"（"&amp;VLOOKUP(1130,ls!$B:$E,$BA$2,TRUE)</f>
        <v>（户口所在地</v>
      </c>
      <c r="V26" s="135"/>
      <c r="W26" s="135"/>
      <c r="X26" s="135"/>
      <c r="Y26" s="135"/>
      <c r="Z26" s="362" t="str">
        <f>IF(E25&lt;&gt;"",L15,"")</f>
        <v/>
      </c>
      <c r="AA26" s="362"/>
      <c r="AB26" s="362"/>
      <c r="AC26" s="362"/>
      <c r="AD26" s="362"/>
      <c r="AE26" s="362"/>
      <c r="AF26" s="362"/>
      <c r="AG26" s="362"/>
      <c r="AH26" s="362"/>
      <c r="AI26" s="362"/>
      <c r="AJ26" s="362"/>
      <c r="AK26" s="362"/>
      <c r="AL26" s="362"/>
      <c r="AM26" s="362"/>
      <c r="AN26" s="362"/>
      <c r="AO26" s="362"/>
      <c r="AP26" s="362"/>
      <c r="AQ26" s="21" t="s">
        <v>16</v>
      </c>
      <c r="AR26" s="33"/>
      <c r="AS26" s="19"/>
      <c r="AT26" s="3"/>
      <c r="AU26" s="3"/>
      <c r="AV26" s="2"/>
      <c r="AW26" s="3"/>
      <c r="AX26" s="19"/>
      <c r="AY26" s="3"/>
      <c r="AZ26" s="3"/>
      <c r="BA26" s="2"/>
      <c r="BB26" s="3"/>
      <c r="BC26" s="14"/>
      <c r="BD26" s="24">
        <v>2</v>
      </c>
      <c r="BE26" s="24" t="str">
        <f>VLOOKUP(1256,ls!$B:$E,$BA$2,TRUE)</f>
        <v>同居</v>
      </c>
      <c r="BF26" s="20" t="str">
        <f>VLOOKUP(1256,ls!$B:$E,$BA$3,TRUE)</f>
        <v>Together</v>
      </c>
      <c r="BG26" s="17" t="str">
        <f>BE26&amp;"/"&amp;BF26</f>
        <v>同居/Together</v>
      </c>
      <c r="BH26" s="17" t="str">
        <f>BE26</f>
        <v>同居</v>
      </c>
      <c r="BI26" s="3"/>
      <c r="BJ26" s="3"/>
      <c r="BK26" s="20">
        <v>8</v>
      </c>
      <c r="BL26" s="29" t="str">
        <f>VLOOKUP(2360,ls!$B:$E,$BA$2,TRUE)</f>
        <v>祖母</v>
      </c>
      <c r="BM26" s="29" t="str">
        <f>VLOOKUP(2360,ls!$B:$E,$BA$3,TRUE)</f>
        <v>Grandmother</v>
      </c>
      <c r="BN26" s="17" t="str">
        <f t="shared" si="3"/>
        <v>祖母  /  Grandmother</v>
      </c>
      <c r="BO26" s="20" t="str">
        <f t="shared" si="2"/>
        <v>祖母</v>
      </c>
    </row>
    <row r="27" spans="1:67" ht="15" customHeight="1">
      <c r="A27" s="4"/>
      <c r="B27" s="3"/>
      <c r="C27" s="131" t="s">
        <v>17</v>
      </c>
      <c r="D27" s="120"/>
      <c r="E27" s="360"/>
      <c r="F27" s="360"/>
      <c r="G27" s="360"/>
      <c r="H27" s="360"/>
      <c r="I27" s="360"/>
      <c r="J27" s="360"/>
      <c r="K27" s="360"/>
      <c r="L27" s="3"/>
      <c r="M27" s="360"/>
      <c r="N27" s="360"/>
      <c r="O27" s="360"/>
      <c r="P27" s="360"/>
      <c r="Q27" s="360"/>
      <c r="R27" s="360"/>
      <c r="S27" s="360"/>
      <c r="T27" s="3"/>
      <c r="U27" s="358" t="str">
        <f>IF(E27&lt;&gt;"",G14,"")</f>
        <v/>
      </c>
      <c r="V27" s="358"/>
      <c r="W27" s="358"/>
      <c r="X27" s="358"/>
      <c r="Y27" s="358"/>
      <c r="Z27" s="358"/>
      <c r="AA27" s="358"/>
      <c r="AB27" s="358"/>
      <c r="AC27" s="358"/>
      <c r="AD27" s="358"/>
      <c r="AE27" s="358"/>
      <c r="AF27" s="358"/>
      <c r="AG27" s="358"/>
      <c r="AH27" s="358"/>
      <c r="AI27" s="358"/>
      <c r="AJ27" s="358"/>
      <c r="AK27" s="358"/>
      <c r="AL27" s="3"/>
      <c r="AM27" s="351"/>
      <c r="AN27" s="351"/>
      <c r="AO27" s="351"/>
      <c r="AP27" s="351"/>
      <c r="AQ27" s="351"/>
      <c r="AR27" s="34" t="s">
        <v>18</v>
      </c>
      <c r="AS27" s="32" t="s">
        <v>19</v>
      </c>
      <c r="AT27" s="3"/>
      <c r="AU27" s="3"/>
      <c r="AV27" s="2"/>
      <c r="AW27" s="3"/>
      <c r="AX27" s="19"/>
      <c r="AY27" s="3"/>
      <c r="AZ27" s="3"/>
      <c r="BA27" s="3"/>
      <c r="BB27" s="35"/>
      <c r="BC27" s="35"/>
      <c r="BD27" s="20">
        <v>3</v>
      </c>
      <c r="BE27" s="20" t="str">
        <f>VLOOKUP(1257,ls!$B:$E,$BA$2,TRUE)</f>
        <v>別居</v>
      </c>
      <c r="BF27" s="20" t="str">
        <f>VLOOKUP(1257,ls!$B:$E,$BA$3,TRUE)</f>
        <v>Separately</v>
      </c>
      <c r="BG27" s="17" t="str">
        <f>BE27&amp;"/"&amp;BF27</f>
        <v>別居/Separately</v>
      </c>
      <c r="BH27" s="17" t="str">
        <f>BE27</f>
        <v>別居</v>
      </c>
      <c r="BI27" s="3"/>
      <c r="BJ27" s="3"/>
      <c r="BK27" s="20">
        <v>9</v>
      </c>
      <c r="BL27" s="29" t="str">
        <f>VLOOKUP(2370,ls!$B:$E,$BA$2,TRUE)</f>
        <v>养父</v>
      </c>
      <c r="BM27" s="29" t="str">
        <f>VLOOKUP(2370,ls!$B:$E,$BA$3,TRUE)</f>
        <v>Foster father</v>
      </c>
      <c r="BN27" s="17" t="str">
        <f t="shared" si="3"/>
        <v>养父  /  Foster father</v>
      </c>
      <c r="BO27" s="20" t="str">
        <f t="shared" si="2"/>
        <v>养父</v>
      </c>
    </row>
    <row r="28" spans="1:67" ht="15" customHeight="1">
      <c r="A28" s="36"/>
      <c r="B28" s="36"/>
      <c r="C28" s="36"/>
      <c r="D28" s="36"/>
      <c r="E28" s="361" t="str">
        <f>IF(E27&lt;&gt;"",$G$7,"")</f>
        <v/>
      </c>
      <c r="F28" s="361"/>
      <c r="G28" s="361"/>
      <c r="H28" s="3"/>
      <c r="I28" s="133" t="str">
        <f>IF(E27&lt;&gt;"",IF($G$14=U27,$BE$26,$BE$27),"")</f>
        <v/>
      </c>
      <c r="J28" s="133"/>
      <c r="K28" s="133"/>
      <c r="L28" s="3"/>
      <c r="M28" s="361"/>
      <c r="N28" s="361"/>
      <c r="O28" s="3"/>
      <c r="P28" s="137" t="str">
        <f>BB25</f>
        <v xml:space="preserve"> </v>
      </c>
      <c r="Q28" s="137"/>
      <c r="R28" s="137"/>
      <c r="S28" s="137"/>
      <c r="T28" s="3"/>
      <c r="U28" s="135" t="str">
        <f>"（"&amp;VLOOKUP(1130,ls!$B:$E,$BA$2,TRUE)</f>
        <v>（户口所在地</v>
      </c>
      <c r="V28" s="135"/>
      <c r="W28" s="135"/>
      <c r="X28" s="135"/>
      <c r="Y28" s="135"/>
      <c r="Z28" s="362" t="str">
        <f>IF(E27&lt;&gt;"",L15,"")</f>
        <v/>
      </c>
      <c r="AA28" s="362"/>
      <c r="AB28" s="362"/>
      <c r="AC28" s="362"/>
      <c r="AD28" s="362"/>
      <c r="AE28" s="362"/>
      <c r="AF28" s="362"/>
      <c r="AG28" s="362"/>
      <c r="AH28" s="362"/>
      <c r="AI28" s="362"/>
      <c r="AJ28" s="362"/>
      <c r="AK28" s="362"/>
      <c r="AL28" s="362"/>
      <c r="AM28" s="362"/>
      <c r="AN28" s="362"/>
      <c r="AO28" s="362"/>
      <c r="AP28" s="362"/>
      <c r="AQ28" s="21" t="s">
        <v>16</v>
      </c>
      <c r="AR28" s="138" t="str">
        <f>"↑" &amp; VLOOKUP(1217,ls!$B:$E,$BA$2,TRUE)</f>
        <v>↑支付人2</v>
      </c>
      <c r="AS28" s="138"/>
      <c r="AT28" s="3"/>
      <c r="AU28" s="3"/>
      <c r="AV28" s="2"/>
      <c r="AW28" s="3"/>
      <c r="AX28" s="19"/>
      <c r="AY28" s="3"/>
      <c r="AZ28" s="3"/>
      <c r="BA28" s="35"/>
      <c r="BB28" s="35"/>
      <c r="BC28" s="35"/>
      <c r="BD28" s="5"/>
      <c r="BE28" s="5"/>
      <c r="BF28" s="5"/>
      <c r="BG28" s="5"/>
      <c r="BH28" s="5"/>
      <c r="BI28" s="3"/>
      <c r="BJ28" s="3"/>
      <c r="BK28" s="20">
        <v>10</v>
      </c>
      <c r="BL28" s="29" t="str">
        <f>VLOOKUP(2380,ls!$B:$E,$BA$2,TRUE)</f>
        <v>养母</v>
      </c>
      <c r="BM28" s="29" t="str">
        <f>VLOOKUP(2380,ls!$B:$E,$BA$3,TRUE)</f>
        <v>Foster mother</v>
      </c>
      <c r="BN28" s="17" t="str">
        <f t="shared" si="3"/>
        <v>养母  /  Foster mother</v>
      </c>
      <c r="BO28" s="20" t="str">
        <f t="shared" si="2"/>
        <v>养母</v>
      </c>
    </row>
    <row r="29" spans="1:67" ht="15" customHeight="1">
      <c r="A29" s="4"/>
      <c r="B29" s="3"/>
      <c r="C29" s="131" t="s">
        <v>20</v>
      </c>
      <c r="D29" s="120"/>
      <c r="E29" s="360"/>
      <c r="F29" s="360"/>
      <c r="G29" s="360"/>
      <c r="H29" s="360"/>
      <c r="I29" s="360"/>
      <c r="J29" s="360"/>
      <c r="K29" s="360"/>
      <c r="L29" s="3"/>
      <c r="M29" s="360"/>
      <c r="N29" s="360"/>
      <c r="O29" s="360"/>
      <c r="P29" s="360"/>
      <c r="Q29" s="360"/>
      <c r="R29" s="360"/>
      <c r="S29" s="360"/>
      <c r="T29" s="3"/>
      <c r="U29" s="358" t="str">
        <f>IF(E29&lt;&gt;"",G14,"")</f>
        <v/>
      </c>
      <c r="V29" s="358"/>
      <c r="W29" s="358"/>
      <c r="X29" s="358"/>
      <c r="Y29" s="358"/>
      <c r="Z29" s="358"/>
      <c r="AA29" s="358"/>
      <c r="AB29" s="358"/>
      <c r="AC29" s="358"/>
      <c r="AD29" s="358"/>
      <c r="AE29" s="358"/>
      <c r="AF29" s="358"/>
      <c r="AG29" s="358"/>
      <c r="AH29" s="358"/>
      <c r="AI29" s="358"/>
      <c r="AJ29" s="358"/>
      <c r="AK29" s="358"/>
      <c r="AL29" s="3"/>
      <c r="AM29" s="351"/>
      <c r="AN29" s="351"/>
      <c r="AO29" s="351"/>
      <c r="AP29" s="351"/>
      <c r="AQ29" s="351"/>
      <c r="AR29" s="139" t="str">
        <f>VLOOKUP(1217,ls!$B:$E,$BA$3,TRUE)</f>
        <v>Sponsor2 Mark</v>
      </c>
      <c r="AS29" s="139"/>
      <c r="AT29" s="3"/>
      <c r="AU29" s="3"/>
      <c r="AV29" s="2"/>
      <c r="AW29" s="3"/>
      <c r="AX29" s="19"/>
      <c r="AY29" s="3"/>
      <c r="AZ29" s="3"/>
      <c r="BA29" s="35"/>
      <c r="BB29" s="35"/>
      <c r="BC29" s="35"/>
      <c r="BD29" s="5"/>
      <c r="BE29" s="5"/>
      <c r="BF29" s="5"/>
      <c r="BG29" s="5"/>
      <c r="BH29" s="5"/>
      <c r="BI29" s="3"/>
      <c r="BJ29" s="3"/>
      <c r="BK29" s="20">
        <v>11</v>
      </c>
      <c r="BL29" s="29" t="str">
        <f>VLOOKUP(2390,ls!$B:$E,$BA$2,TRUE)</f>
        <v>哥哥</v>
      </c>
      <c r="BM29" s="29" t="str">
        <f>VLOOKUP(2390,ls!$B:$E,$BA$3,TRUE)</f>
        <v>Elder brother</v>
      </c>
      <c r="BN29" s="17" t="str">
        <f t="shared" si="3"/>
        <v>哥哥  /  Elder brother</v>
      </c>
      <c r="BO29" s="20" t="str">
        <f t="shared" si="2"/>
        <v>哥哥</v>
      </c>
    </row>
    <row r="30" spans="1:67" ht="15" customHeight="1">
      <c r="A30" s="4"/>
      <c r="B30" s="3"/>
      <c r="C30" s="2"/>
      <c r="D30" s="2"/>
      <c r="E30" s="361" t="str">
        <f>IF(E29&lt;&gt;"",$G$7,"")</f>
        <v/>
      </c>
      <c r="F30" s="361"/>
      <c r="G30" s="361"/>
      <c r="H30" s="3"/>
      <c r="I30" s="133" t="str">
        <f>IF(E29&lt;&gt;"",IF($G$14=U29,$BE$26,$BE$27),"")</f>
        <v/>
      </c>
      <c r="J30" s="133"/>
      <c r="K30" s="133"/>
      <c r="L30" s="3"/>
      <c r="M30" s="361"/>
      <c r="N30" s="361"/>
      <c r="O30" s="2"/>
      <c r="P30" s="363"/>
      <c r="Q30" s="363"/>
      <c r="R30" s="363"/>
      <c r="S30" s="363"/>
      <c r="T30" s="3"/>
      <c r="U30" s="135" t="str">
        <f>"（"&amp;VLOOKUP(1130,ls!$B:$E,$BA$2,TRUE)</f>
        <v>（户口所在地</v>
      </c>
      <c r="V30" s="135"/>
      <c r="W30" s="135"/>
      <c r="X30" s="135"/>
      <c r="Y30" s="135"/>
      <c r="Z30" s="362" t="str">
        <f>IF(E29&lt;&gt;"",L15,"")</f>
        <v/>
      </c>
      <c r="AA30" s="362"/>
      <c r="AB30" s="362"/>
      <c r="AC30" s="362"/>
      <c r="AD30" s="362"/>
      <c r="AE30" s="362"/>
      <c r="AF30" s="362"/>
      <c r="AG30" s="362"/>
      <c r="AH30" s="362"/>
      <c r="AI30" s="362"/>
      <c r="AJ30" s="362"/>
      <c r="AK30" s="362"/>
      <c r="AL30" s="362"/>
      <c r="AM30" s="362"/>
      <c r="AN30" s="362"/>
      <c r="AO30" s="362"/>
      <c r="AP30" s="362"/>
      <c r="AQ30" s="21" t="s">
        <v>16</v>
      </c>
      <c r="AR30" s="2"/>
      <c r="AS30" s="2"/>
      <c r="AT30" s="3"/>
      <c r="AU30" s="3"/>
      <c r="AV30" s="2"/>
      <c r="AW30" s="3"/>
      <c r="AX30" s="19"/>
      <c r="AY30" s="2"/>
      <c r="AZ30" s="3"/>
      <c r="BA30" s="35"/>
      <c r="BB30" s="35"/>
      <c r="BC30" s="35"/>
      <c r="BD30" s="3"/>
      <c r="BE30" s="3"/>
      <c r="BF30" s="3"/>
      <c r="BG30" s="3"/>
      <c r="BH30" s="3"/>
      <c r="BI30" s="3"/>
      <c r="BJ30" s="3"/>
      <c r="BK30" s="20">
        <v>12</v>
      </c>
      <c r="BL30" s="29" t="str">
        <f>VLOOKUP(2400,ls!$B:$E,$BA$2,TRUE)</f>
        <v>弟弟</v>
      </c>
      <c r="BM30" s="29" t="str">
        <f>VLOOKUP(2400,ls!$B:$E,$BA$3,TRUE)</f>
        <v>Younger brother</v>
      </c>
      <c r="BN30" s="17" t="str">
        <f t="shared" si="3"/>
        <v>弟弟  /  Younger brother</v>
      </c>
      <c r="BO30" s="20" t="str">
        <f t="shared" si="2"/>
        <v>弟弟</v>
      </c>
    </row>
    <row r="31" spans="1:67" ht="15" customHeight="1">
      <c r="A31" s="4"/>
      <c r="B31" s="3"/>
      <c r="C31" s="131" t="s">
        <v>21</v>
      </c>
      <c r="D31" s="120"/>
      <c r="E31" s="360"/>
      <c r="F31" s="360"/>
      <c r="G31" s="360"/>
      <c r="H31" s="360"/>
      <c r="I31" s="360"/>
      <c r="J31" s="360"/>
      <c r="K31" s="360"/>
      <c r="L31" s="3"/>
      <c r="M31" s="132"/>
      <c r="N31" s="132"/>
      <c r="O31" s="132"/>
      <c r="P31" s="132"/>
      <c r="Q31" s="132"/>
      <c r="R31" s="132"/>
      <c r="S31" s="132"/>
      <c r="T31" s="3"/>
      <c r="U31" s="358" t="str">
        <f>IF(E31&lt;&gt;"",G14,"")</f>
        <v/>
      </c>
      <c r="V31" s="358"/>
      <c r="W31" s="358"/>
      <c r="X31" s="358"/>
      <c r="Y31" s="358"/>
      <c r="Z31" s="358"/>
      <c r="AA31" s="358"/>
      <c r="AB31" s="358"/>
      <c r="AC31" s="358"/>
      <c r="AD31" s="358"/>
      <c r="AE31" s="358"/>
      <c r="AF31" s="358"/>
      <c r="AG31" s="358"/>
      <c r="AH31" s="358"/>
      <c r="AI31" s="358"/>
      <c r="AJ31" s="358"/>
      <c r="AK31" s="358"/>
      <c r="AL31" s="3"/>
      <c r="AM31" s="351"/>
      <c r="AN31" s="351"/>
      <c r="AO31" s="351"/>
      <c r="AP31" s="351"/>
      <c r="AQ31" s="351"/>
      <c r="AR31" s="2"/>
      <c r="AS31" s="2"/>
      <c r="AT31" s="3"/>
      <c r="AU31" s="3"/>
      <c r="AV31" s="2"/>
      <c r="AW31" s="3"/>
      <c r="AX31" s="19"/>
      <c r="AY31" s="3"/>
      <c r="AZ31" s="2"/>
      <c r="BA31" s="2"/>
      <c r="BB31" s="3"/>
      <c r="BC31" s="3"/>
      <c r="BD31" s="19"/>
      <c r="BE31" s="19"/>
      <c r="BF31" s="37"/>
      <c r="BG31" s="37"/>
      <c r="BH31" s="37"/>
      <c r="BI31" s="3"/>
      <c r="BJ31" s="3"/>
      <c r="BK31" s="20">
        <v>13</v>
      </c>
      <c r="BL31" s="29" t="str">
        <f>VLOOKUP(2410,ls!$B:$E,$BA$2,TRUE)</f>
        <v>姐姐</v>
      </c>
      <c r="BM31" s="29" t="str">
        <f>VLOOKUP(2410,ls!$B:$E,$BA$3,TRUE)</f>
        <v>Elder sister</v>
      </c>
      <c r="BN31" s="17" t="str">
        <f t="shared" si="3"/>
        <v>姐姐  /  Elder sister</v>
      </c>
      <c r="BO31" s="20" t="str">
        <f t="shared" si="2"/>
        <v>姐姐</v>
      </c>
    </row>
    <row r="32" spans="1:67" ht="15" customHeight="1">
      <c r="A32" s="4"/>
      <c r="B32" s="3"/>
      <c r="C32" s="2"/>
      <c r="D32" s="2"/>
      <c r="E32" s="361" t="str">
        <f>IF(E31&lt;&gt;"",$G$7,"")</f>
        <v/>
      </c>
      <c r="F32" s="361"/>
      <c r="G32" s="361"/>
      <c r="H32" s="3"/>
      <c r="I32" s="133" t="str">
        <f>IF(E31&lt;&gt;"",IF($G$14=U31,$BE$26,$BE$27),"")</f>
        <v/>
      </c>
      <c r="J32" s="133"/>
      <c r="K32" s="133"/>
      <c r="L32" s="3"/>
      <c r="M32" s="361"/>
      <c r="N32" s="361"/>
      <c r="O32" s="2"/>
      <c r="P32" s="363"/>
      <c r="Q32" s="363"/>
      <c r="R32" s="363"/>
      <c r="S32" s="363"/>
      <c r="T32" s="3"/>
      <c r="U32" s="135" t="str">
        <f>"（"&amp;VLOOKUP(1130,ls!$B:$E,$BA$2,TRUE)</f>
        <v>（户口所在地</v>
      </c>
      <c r="V32" s="135"/>
      <c r="W32" s="135"/>
      <c r="X32" s="135"/>
      <c r="Y32" s="135"/>
      <c r="Z32" s="362" t="str">
        <f>IF(E31&lt;&gt;"",L15,"")</f>
        <v/>
      </c>
      <c r="AA32" s="362"/>
      <c r="AB32" s="362"/>
      <c r="AC32" s="362"/>
      <c r="AD32" s="362"/>
      <c r="AE32" s="362"/>
      <c r="AF32" s="362"/>
      <c r="AG32" s="362"/>
      <c r="AH32" s="362"/>
      <c r="AI32" s="362"/>
      <c r="AJ32" s="362"/>
      <c r="AK32" s="362"/>
      <c r="AL32" s="362"/>
      <c r="AM32" s="362"/>
      <c r="AN32" s="362"/>
      <c r="AO32" s="362"/>
      <c r="AP32" s="362"/>
      <c r="AQ32" s="21" t="s">
        <v>16</v>
      </c>
      <c r="AR32" s="2"/>
      <c r="AS32" s="2"/>
      <c r="AT32" s="3"/>
      <c r="AU32" s="2"/>
      <c r="AV32" s="2"/>
      <c r="AW32" s="2"/>
      <c r="AX32" s="19"/>
      <c r="AY32" s="3"/>
      <c r="AZ32" s="3"/>
      <c r="BA32" s="2"/>
      <c r="BB32" s="3"/>
      <c r="BC32" s="3"/>
      <c r="BD32" s="3"/>
      <c r="BE32" s="3"/>
      <c r="BF32" s="5"/>
      <c r="BG32" s="5"/>
      <c r="BH32" s="5"/>
      <c r="BI32" s="3"/>
      <c r="BJ32" s="3"/>
      <c r="BK32" s="20">
        <v>14</v>
      </c>
      <c r="BL32" s="29" t="str">
        <f>VLOOKUP(2420,ls!$B:$E,$BA$2,TRUE)</f>
        <v>妹妹</v>
      </c>
      <c r="BM32" s="29" t="str">
        <f>VLOOKUP(2420,ls!$B:$E,$BA$3,TRUE)</f>
        <v>Younger sister</v>
      </c>
      <c r="BN32" s="17" t="str">
        <f t="shared" si="3"/>
        <v>妹妹  /  Younger sister</v>
      </c>
      <c r="BO32" s="20" t="str">
        <f t="shared" si="2"/>
        <v>妹妹</v>
      </c>
    </row>
    <row r="33" spans="1:67" ht="15" customHeight="1">
      <c r="A33" s="4"/>
      <c r="B33" s="3"/>
      <c r="C33" s="131" t="s">
        <v>22</v>
      </c>
      <c r="D33" s="120"/>
      <c r="E33" s="360"/>
      <c r="F33" s="360"/>
      <c r="G33" s="360"/>
      <c r="H33" s="360"/>
      <c r="I33" s="360"/>
      <c r="J33" s="360"/>
      <c r="K33" s="360"/>
      <c r="L33" s="3"/>
      <c r="M33" s="360"/>
      <c r="N33" s="360"/>
      <c r="O33" s="360"/>
      <c r="P33" s="360"/>
      <c r="Q33" s="360"/>
      <c r="R33" s="360"/>
      <c r="S33" s="360"/>
      <c r="T33" s="3"/>
      <c r="U33" s="358" t="str">
        <f>IF(E33&lt;&gt;"",G14,"")</f>
        <v/>
      </c>
      <c r="V33" s="358"/>
      <c r="W33" s="358"/>
      <c r="X33" s="358"/>
      <c r="Y33" s="358"/>
      <c r="Z33" s="358"/>
      <c r="AA33" s="358"/>
      <c r="AB33" s="358"/>
      <c r="AC33" s="358"/>
      <c r="AD33" s="358"/>
      <c r="AE33" s="358"/>
      <c r="AF33" s="358"/>
      <c r="AG33" s="358"/>
      <c r="AH33" s="358"/>
      <c r="AI33" s="358"/>
      <c r="AJ33" s="358"/>
      <c r="AK33" s="358"/>
      <c r="AL33" s="3"/>
      <c r="AM33" s="351"/>
      <c r="AN33" s="351"/>
      <c r="AO33" s="351"/>
      <c r="AP33" s="351"/>
      <c r="AQ33" s="351"/>
      <c r="AR33" s="2"/>
      <c r="AS33" s="2"/>
      <c r="AT33" s="3"/>
      <c r="AU33" s="3"/>
      <c r="AV33" s="2"/>
      <c r="AW33" s="3"/>
      <c r="AX33" s="19"/>
      <c r="AY33" s="3"/>
      <c r="AZ33" s="3"/>
      <c r="BA33" s="2"/>
      <c r="BB33" s="3"/>
      <c r="BC33" s="3"/>
      <c r="BD33" s="3"/>
      <c r="BE33" s="3"/>
      <c r="BF33" s="3"/>
      <c r="BG33" s="3"/>
      <c r="BH33" s="3"/>
      <c r="BI33" s="3"/>
      <c r="BJ33" s="3"/>
      <c r="BK33" s="20">
        <v>15</v>
      </c>
      <c r="BL33" s="29" t="str">
        <f>VLOOKUP(2425,ls!$B:$E,$BA$2,TRUE)</f>
        <v>儿子</v>
      </c>
      <c r="BM33" s="29" t="str">
        <f>VLOOKUP(2425,ls!$B:$E,$BA$3,TRUE)</f>
        <v>Son</v>
      </c>
      <c r="BN33" s="17" t="str">
        <f t="shared" si="3"/>
        <v>儿子  /  Son</v>
      </c>
      <c r="BO33" s="20" t="str">
        <f t="shared" si="2"/>
        <v>儿子</v>
      </c>
    </row>
    <row r="34" spans="1:67" ht="15" customHeight="1">
      <c r="A34" s="4"/>
      <c r="B34" s="3"/>
      <c r="C34" s="2"/>
      <c r="D34" s="2"/>
      <c r="E34" s="361" t="str">
        <f>IF(E33&lt;&gt;"",$G$7,"")</f>
        <v/>
      </c>
      <c r="F34" s="361"/>
      <c r="G34" s="361"/>
      <c r="H34" s="3"/>
      <c r="I34" s="133" t="str">
        <f>IF(E33&lt;&gt;"",IF($G$14=U33,$BE$26,$BE$27),"")</f>
        <v/>
      </c>
      <c r="J34" s="133"/>
      <c r="K34" s="133"/>
      <c r="L34" s="3"/>
      <c r="M34" s="361"/>
      <c r="N34" s="361"/>
      <c r="O34" s="2"/>
      <c r="P34" s="363"/>
      <c r="Q34" s="363"/>
      <c r="R34" s="363"/>
      <c r="S34" s="363"/>
      <c r="T34" s="3"/>
      <c r="U34" s="135" t="str">
        <f>"（"&amp;VLOOKUP(1130,ls!$B:$E,$BA$2,TRUE)</f>
        <v>（户口所在地</v>
      </c>
      <c r="V34" s="135"/>
      <c r="W34" s="135"/>
      <c r="X34" s="135"/>
      <c r="Y34" s="135"/>
      <c r="Z34" s="362" t="str">
        <f>IF(E33&lt;&gt;"",L15,"")</f>
        <v/>
      </c>
      <c r="AA34" s="362"/>
      <c r="AB34" s="362"/>
      <c r="AC34" s="362"/>
      <c r="AD34" s="362"/>
      <c r="AE34" s="362"/>
      <c r="AF34" s="362"/>
      <c r="AG34" s="362"/>
      <c r="AH34" s="362"/>
      <c r="AI34" s="362"/>
      <c r="AJ34" s="362"/>
      <c r="AK34" s="362"/>
      <c r="AL34" s="362"/>
      <c r="AM34" s="362"/>
      <c r="AN34" s="362"/>
      <c r="AO34" s="362"/>
      <c r="AP34" s="362"/>
      <c r="AQ34" s="21" t="s">
        <v>16</v>
      </c>
      <c r="AR34" s="2"/>
      <c r="AS34" s="2"/>
      <c r="AT34" s="3"/>
      <c r="AU34" s="3"/>
      <c r="AV34" s="2"/>
      <c r="AW34" s="3"/>
      <c r="AX34" s="19"/>
      <c r="AY34" s="3"/>
      <c r="AZ34" s="3"/>
      <c r="BA34" s="2"/>
      <c r="BB34" s="3"/>
      <c r="BC34" s="3"/>
      <c r="BD34" s="3"/>
      <c r="BE34" s="3"/>
      <c r="BF34" s="3"/>
      <c r="BG34" s="3"/>
      <c r="BH34" s="3"/>
      <c r="BI34" s="3"/>
      <c r="BJ34" s="3"/>
      <c r="BK34" s="20">
        <v>16</v>
      </c>
      <c r="BL34" s="29" t="str">
        <f>VLOOKUP(2426,ls!$B:$E,$BA$2,TRUE)</f>
        <v>女儿</v>
      </c>
      <c r="BM34" s="29" t="str">
        <f>VLOOKUP(2426,ls!$B:$E,$BA$3,TRUE)</f>
        <v>Daughter</v>
      </c>
      <c r="BN34" s="17" t="str">
        <f t="shared" si="3"/>
        <v>女儿  /  Daughter</v>
      </c>
      <c r="BO34" s="20" t="str">
        <f t="shared" si="2"/>
        <v>女儿</v>
      </c>
    </row>
    <row r="35" spans="1:67" ht="15" customHeight="1">
      <c r="A35" s="4"/>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140" t="str">
        <f>VLOOKUP(1490,ls!$B:$E,$BA$2,TRUE)&amp;"/"&amp;VLOOKUP(1490,ls!$B:$E,$BA$3,TRUE)&amp;"→"</f>
        <v>其他/Others→</v>
      </c>
      <c r="AS35" s="140"/>
      <c r="AT35" s="140"/>
      <c r="AU35" s="38"/>
      <c r="AV35" s="39"/>
      <c r="AW35" s="40"/>
      <c r="AX35" s="19"/>
      <c r="AY35" s="3"/>
      <c r="AZ35" s="3"/>
      <c r="BA35" s="2"/>
      <c r="BB35" s="3"/>
      <c r="BC35" s="3"/>
      <c r="BD35" s="3"/>
      <c r="BE35" s="3"/>
      <c r="BF35" s="5"/>
      <c r="BG35" s="5"/>
      <c r="BH35" s="5"/>
      <c r="BI35" s="3"/>
      <c r="BJ35" s="3"/>
      <c r="BK35" s="20">
        <v>17</v>
      </c>
      <c r="BL35" s="29" t="str">
        <f>VLOOKUP(2430,ls!$B:$E,$BA$2,TRUE)</f>
        <v>姑父</v>
      </c>
      <c r="BM35" s="29" t="str">
        <f>VLOOKUP(2430,ls!$B:$E,$BA$3,TRUE)</f>
        <v>Uncle</v>
      </c>
      <c r="BN35" s="17" t="str">
        <f t="shared" si="3"/>
        <v>姑父  /  Uncle</v>
      </c>
      <c r="BO35" s="20" t="str">
        <f t="shared" si="2"/>
        <v>姑父</v>
      </c>
    </row>
    <row r="36" spans="1:67" ht="15" customHeight="1">
      <c r="A36" s="4">
        <v>8</v>
      </c>
      <c r="B36" s="3" t="s">
        <v>9</v>
      </c>
      <c r="C36" s="119" t="str">
        <f>VLOOKUP(1260,ls!$B:$E,$BA$2,TRUE)</f>
        <v>学历（从初等教育（小学校）开始，順次到最終学历为止）</v>
      </c>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3"/>
      <c r="AC36" s="3"/>
      <c r="AD36" s="3"/>
      <c r="AE36" s="3"/>
      <c r="AF36" s="3"/>
      <c r="AG36" s="3"/>
      <c r="AH36" s="3"/>
      <c r="AI36" s="3"/>
      <c r="AJ36" s="3"/>
      <c r="AK36" s="3"/>
      <c r="AL36" s="3"/>
      <c r="AM36" s="3"/>
      <c r="AN36" s="3"/>
      <c r="AO36" s="3"/>
      <c r="AP36" s="3"/>
      <c r="AQ36" s="3"/>
      <c r="AR36" s="2"/>
      <c r="AS36" s="2"/>
      <c r="AT36" s="3"/>
      <c r="AU36" s="41"/>
      <c r="AV36" s="3"/>
      <c r="AW36" s="41"/>
      <c r="AX36" s="41"/>
      <c r="AY36" s="3"/>
      <c r="AZ36" s="3"/>
      <c r="BA36" s="2"/>
      <c r="BB36" s="3"/>
      <c r="BC36" s="3"/>
      <c r="BD36" s="3"/>
      <c r="BE36" s="3"/>
      <c r="BF36" s="5"/>
      <c r="BG36" s="5"/>
      <c r="BH36" s="5"/>
      <c r="BI36" s="3"/>
      <c r="BJ36" s="3"/>
      <c r="BK36" s="20">
        <v>18</v>
      </c>
      <c r="BL36" s="29" t="str">
        <f>VLOOKUP(2431,ls!$B:$E,$BA$2,TRUE)</f>
        <v>姨夫</v>
      </c>
      <c r="BM36" s="29" t="str">
        <f>VLOOKUP(2431,ls!$B:$E,$BA$3,TRUE)</f>
        <v>Uncle</v>
      </c>
      <c r="BN36" s="17" t="str">
        <f t="shared" si="3"/>
        <v>姨夫  /  Uncle</v>
      </c>
      <c r="BO36" s="20" t="str">
        <f t="shared" si="2"/>
        <v>姨夫</v>
      </c>
    </row>
    <row r="37" spans="1:67" ht="15" customHeight="1">
      <c r="A37" s="21"/>
      <c r="B37" s="14"/>
      <c r="C37" s="123" t="str">
        <f>VLOOKUP(1260,ls!$B:$E,$BA$3,TRUE)</f>
        <v>Educational Background（in order from primary school to last school）</v>
      </c>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4"/>
      <c r="AC37" s="14"/>
      <c r="AD37" s="14"/>
      <c r="AE37" s="14"/>
      <c r="AF37" s="14"/>
      <c r="AG37" s="120" t="str">
        <f>VLOOKUP(1290,ls!$B:$E,$BA$2,TRUE)</f>
        <v>学习期间</v>
      </c>
      <c r="AH37" s="120"/>
      <c r="AI37" s="120"/>
      <c r="AJ37" s="120"/>
      <c r="AK37" s="120"/>
      <c r="AL37" s="120"/>
      <c r="AM37" s="120"/>
      <c r="AN37" s="120"/>
      <c r="AO37" s="120"/>
      <c r="AP37" s="120"/>
      <c r="AQ37" s="120"/>
      <c r="AR37" s="14"/>
      <c r="AS37" s="14"/>
      <c r="AT37" s="14"/>
      <c r="AU37" s="14"/>
      <c r="AV37" s="14"/>
      <c r="AW37" s="14"/>
      <c r="AX37" s="19"/>
      <c r="AY37" s="14"/>
      <c r="AZ37" s="14"/>
      <c r="BA37" s="14"/>
      <c r="BB37" s="2"/>
      <c r="BC37" s="2"/>
      <c r="BD37" s="2"/>
      <c r="BE37" s="2"/>
      <c r="BF37" s="14"/>
      <c r="BG37" s="14"/>
      <c r="BH37" s="14"/>
      <c r="BI37" s="14"/>
      <c r="BJ37" s="14"/>
      <c r="BK37" s="20">
        <v>19</v>
      </c>
      <c r="BL37" s="29" t="str">
        <f>VLOOKUP(2440,ls!$B:$E,$BA$2,TRUE)</f>
        <v>姑姑</v>
      </c>
      <c r="BM37" s="29" t="str">
        <f>VLOOKUP(2440,ls!$B:$E,$BA$3,TRUE)</f>
        <v>Aunt</v>
      </c>
      <c r="BN37" s="17" t="str">
        <f t="shared" si="3"/>
        <v>姑姑  /  Aunt</v>
      </c>
      <c r="BO37" s="20" t="str">
        <f t="shared" si="2"/>
        <v>姑姑</v>
      </c>
    </row>
    <row r="38" spans="1:67" ht="15" customHeight="1">
      <c r="A38" s="21"/>
      <c r="B38" s="1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14"/>
      <c r="AC38" s="14"/>
      <c r="AD38" s="14"/>
      <c r="AE38" s="14"/>
      <c r="AF38" s="14"/>
      <c r="AG38" s="124" t="str">
        <f>VLOOKUP(1290,ls!$B:$E,$BA$3,TRUE)</f>
        <v>Period of Schooling</v>
      </c>
      <c r="AH38" s="124"/>
      <c r="AI38" s="124"/>
      <c r="AJ38" s="124"/>
      <c r="AK38" s="124"/>
      <c r="AL38" s="124"/>
      <c r="AM38" s="124"/>
      <c r="AN38" s="124"/>
      <c r="AO38" s="124"/>
      <c r="AP38" s="124"/>
      <c r="AQ38" s="124"/>
      <c r="AR38" s="22"/>
      <c r="AS38" s="22"/>
      <c r="AT38" s="3"/>
      <c r="AU38" s="14"/>
      <c r="AV38" s="14"/>
      <c r="AW38" s="14"/>
      <c r="AX38" s="19"/>
      <c r="AY38" s="42"/>
      <c r="AZ38" s="14"/>
      <c r="BA38" s="39"/>
      <c r="BB38" s="2"/>
      <c r="BC38" s="2"/>
      <c r="BD38" s="2"/>
      <c r="BE38" s="3"/>
      <c r="BF38" s="14"/>
      <c r="BG38" s="14"/>
      <c r="BH38" s="14"/>
      <c r="BI38" s="14"/>
      <c r="BJ38" s="14"/>
      <c r="BK38" s="20">
        <v>20</v>
      </c>
      <c r="BL38" s="29" t="str">
        <f>VLOOKUP(2441,ls!$B:$E,$BA$2,TRUE)</f>
        <v>姨</v>
      </c>
      <c r="BM38" s="29" t="str">
        <f>VLOOKUP(2441,ls!$B:$E,$BA$3,TRUE)</f>
        <v>Aunt</v>
      </c>
      <c r="BN38" s="17" t="str">
        <f t="shared" si="3"/>
        <v>姨  /  Aunt</v>
      </c>
      <c r="BO38" s="20" t="str">
        <f t="shared" si="2"/>
        <v>姨</v>
      </c>
    </row>
    <row r="39" spans="1:67" ht="15" customHeight="1">
      <c r="A39" s="4"/>
      <c r="B39" s="3"/>
      <c r="C39" s="26"/>
      <c r="D39" s="3"/>
      <c r="E39" s="120" t="str">
        <f>VLOOKUP(1270,ls!$B:$E,$BA$2,TRUE)</f>
        <v>学校名称</v>
      </c>
      <c r="F39" s="120"/>
      <c r="G39" s="120"/>
      <c r="H39" s="120"/>
      <c r="I39" s="120"/>
      <c r="J39" s="120"/>
      <c r="K39" s="120"/>
      <c r="L39" s="120"/>
      <c r="M39" s="120"/>
      <c r="N39" s="120"/>
      <c r="O39" s="3"/>
      <c r="P39" s="120" t="str">
        <f>VLOOKUP(1280,ls!$B:$E,$BA$2,TRUE)</f>
        <v>地址</v>
      </c>
      <c r="Q39" s="120"/>
      <c r="R39" s="120"/>
      <c r="S39" s="120"/>
      <c r="T39" s="120"/>
      <c r="U39" s="120"/>
      <c r="V39" s="120"/>
      <c r="W39" s="120"/>
      <c r="X39" s="120"/>
      <c r="Y39" s="120"/>
      <c r="Z39" s="120"/>
      <c r="AA39" s="120"/>
      <c r="AB39" s="120"/>
      <c r="AC39" s="120"/>
      <c r="AD39" s="120"/>
      <c r="AE39" s="120"/>
      <c r="AF39" s="3"/>
      <c r="AG39" s="120" t="str">
        <f>VLOOKUP(1300,ls!$B:$E,$BA$2,TRUE)</f>
        <v>入学年月</v>
      </c>
      <c r="AH39" s="120"/>
      <c r="AI39" s="120"/>
      <c r="AJ39" s="120"/>
      <c r="AK39" s="120"/>
      <c r="AL39" s="3"/>
      <c r="AM39" s="120" t="str">
        <f>VLOOKUP(1310,ls!$B:$E,$BA$2,TRUE)</f>
        <v>毕业年月</v>
      </c>
      <c r="AN39" s="120"/>
      <c r="AO39" s="120"/>
      <c r="AP39" s="120"/>
      <c r="AQ39" s="120"/>
      <c r="AR39" s="2" t="str">
        <f>VLOOKUP(1311,ls!$B:$E,$BA$2,TRUE)</f>
        <v>最終学歴</v>
      </c>
      <c r="AS39" s="2"/>
      <c r="AT39" s="3"/>
      <c r="AU39" s="119" t="str">
        <f>VLOOKUP(1311,ls!$B:$E,$BA$2,TRUE) &amp; " / " &amp; VLOOKUP(1311,ls!$B:$E,$BA$3,TRUE)</f>
        <v>最終学歴 / Final Education</v>
      </c>
      <c r="AV39" s="119"/>
      <c r="AW39" s="119"/>
      <c r="AX39" s="3"/>
      <c r="AY39" s="3"/>
      <c r="AZ39" s="3"/>
      <c r="BA39" s="3"/>
      <c r="BB39" s="3"/>
      <c r="BC39" s="3"/>
      <c r="BD39" s="5"/>
      <c r="BE39" s="5"/>
      <c r="BF39" s="5"/>
      <c r="BG39" s="5"/>
      <c r="BH39" s="5"/>
      <c r="BI39" s="3"/>
      <c r="BJ39" s="3"/>
      <c r="BK39" s="20">
        <v>21</v>
      </c>
      <c r="BL39" s="29" t="str">
        <f>VLOOKUP(2450,ls!$B:$E,$BA$2,TRUE)</f>
        <v>其他</v>
      </c>
      <c r="BM39" s="29" t="str">
        <f>VLOOKUP(2450,ls!$B:$E,$BA$3,TRUE)</f>
        <v>Others</v>
      </c>
      <c r="BN39" s="17" t="str">
        <f t="shared" si="3"/>
        <v>其他  /  Others</v>
      </c>
      <c r="BO39" s="20" t="str">
        <f t="shared" si="2"/>
        <v>其他</v>
      </c>
    </row>
    <row r="40" spans="1:67" ht="15" customHeight="1">
      <c r="A40" s="21"/>
      <c r="B40" s="14"/>
      <c r="C40" s="14"/>
      <c r="D40" s="14"/>
      <c r="E40" s="124" t="str">
        <f>VLOOKUP(1270,ls!$B:$E,$BA$3,TRUE)</f>
        <v>Name of School</v>
      </c>
      <c r="F40" s="124"/>
      <c r="G40" s="124"/>
      <c r="H40" s="124"/>
      <c r="I40" s="124"/>
      <c r="J40" s="124"/>
      <c r="K40" s="124"/>
      <c r="L40" s="124"/>
      <c r="M40" s="124"/>
      <c r="N40" s="124"/>
      <c r="O40" s="14"/>
      <c r="P40" s="124" t="str">
        <f>VLOOKUP(1280,ls!$B:$E,$BA$3,TRUE)</f>
        <v>Location</v>
      </c>
      <c r="Q40" s="124"/>
      <c r="R40" s="124"/>
      <c r="S40" s="124"/>
      <c r="T40" s="124"/>
      <c r="U40" s="124"/>
      <c r="V40" s="124"/>
      <c r="W40" s="124"/>
      <c r="X40" s="124"/>
      <c r="Y40" s="124"/>
      <c r="Z40" s="124"/>
      <c r="AA40" s="124"/>
      <c r="AB40" s="124"/>
      <c r="AC40" s="124"/>
      <c r="AD40" s="124"/>
      <c r="AE40" s="124"/>
      <c r="AF40" s="14"/>
      <c r="AG40" s="124" t="str">
        <f>VLOOKUP(1300,ls!$B:$E,$BA$3,TRUE)</f>
        <v>Entrance( Y / M )</v>
      </c>
      <c r="AH40" s="124"/>
      <c r="AI40" s="124"/>
      <c r="AJ40" s="124"/>
      <c r="AK40" s="124"/>
      <c r="AL40" s="22"/>
      <c r="AM40" s="124" t="str">
        <f>VLOOKUP(1310,ls!$B:$E,$BA$3,TRUE)</f>
        <v>Graduation( Y / M )</v>
      </c>
      <c r="AN40" s="124"/>
      <c r="AO40" s="124"/>
      <c r="AP40" s="124"/>
      <c r="AQ40" s="124"/>
      <c r="AR40" s="22" t="str">
        <f>VLOOKUP(1311,ls!$B:$E,$BA$3,TRUE)</f>
        <v>Final Education</v>
      </c>
      <c r="AS40" s="22" t="s">
        <v>23</v>
      </c>
      <c r="AT40" s="3"/>
      <c r="AU40" s="14"/>
      <c r="AV40" s="14"/>
      <c r="AW40" s="14"/>
      <c r="AX40" s="14"/>
      <c r="AY40" s="14"/>
      <c r="AZ40" s="14"/>
      <c r="BA40" s="9">
        <v>1</v>
      </c>
      <c r="BB40" s="10" t="str">
        <f>INDEX(BH40:BH47,BA40)</f>
        <v xml:space="preserve"> </v>
      </c>
      <c r="BC40" s="14"/>
      <c r="BD40" s="20">
        <v>1</v>
      </c>
      <c r="BE40" s="20"/>
      <c r="BF40" s="20"/>
      <c r="BG40" s="17" t="str">
        <f>VLOOKUP(100,ls!$B:$E,$BA$2,TRUE)&amp;" / "&amp;VLOOKUP(100,ls!$B:$E,$BA$3,TRUE)</f>
        <v>未选择 / Unselected</v>
      </c>
      <c r="BH40" s="20" t="s">
        <v>8</v>
      </c>
      <c r="BI40" s="14"/>
      <c r="BJ40" s="22"/>
      <c r="BK40" s="14"/>
      <c r="BL40" s="14"/>
      <c r="BM40" s="14"/>
      <c r="BN40" s="14"/>
      <c r="BO40" s="14"/>
    </row>
    <row r="41" spans="1:67" ht="15" customHeight="1">
      <c r="A41" s="4"/>
      <c r="B41" s="3"/>
      <c r="C41" s="131" t="s">
        <v>13</v>
      </c>
      <c r="D41" s="120"/>
      <c r="E41" s="358"/>
      <c r="F41" s="358"/>
      <c r="G41" s="358"/>
      <c r="H41" s="358"/>
      <c r="I41" s="358"/>
      <c r="J41" s="358"/>
      <c r="K41" s="358"/>
      <c r="L41" s="358"/>
      <c r="M41" s="358"/>
      <c r="N41" s="358"/>
      <c r="O41" s="3"/>
      <c r="P41" s="358"/>
      <c r="Q41" s="358"/>
      <c r="R41" s="358"/>
      <c r="S41" s="358"/>
      <c r="T41" s="358"/>
      <c r="U41" s="358"/>
      <c r="V41" s="358"/>
      <c r="W41" s="358"/>
      <c r="X41" s="358"/>
      <c r="Y41" s="358"/>
      <c r="Z41" s="358"/>
      <c r="AA41" s="358"/>
      <c r="AB41" s="358"/>
      <c r="AC41" s="358"/>
      <c r="AD41" s="358"/>
      <c r="AE41" s="358"/>
      <c r="AF41" s="3"/>
      <c r="AG41" s="351"/>
      <c r="AH41" s="351"/>
      <c r="AI41" s="18" t="s">
        <v>24</v>
      </c>
      <c r="AJ41" s="351"/>
      <c r="AK41" s="351"/>
      <c r="AL41" s="3" t="s">
        <v>25</v>
      </c>
      <c r="AM41" s="351"/>
      <c r="AN41" s="351"/>
      <c r="AO41" s="18" t="s">
        <v>24</v>
      </c>
      <c r="AP41" s="351"/>
      <c r="AQ41" s="351"/>
      <c r="AR41" s="43" t="str">
        <f>IF(AND(ISNUMBER(AP41),NOT(ISNUMBER(AP42))),"〇","")</f>
        <v/>
      </c>
      <c r="AS41" s="2">
        <f>IF(AND(ISNUMBER(AJ41),ISNUMBER(AP41)),(AM41*12+AP41)-(AG41*12+AJ41),0)</f>
        <v>0</v>
      </c>
      <c r="AT41" s="3"/>
      <c r="AU41" s="3"/>
      <c r="AV41" s="3"/>
      <c r="AW41" s="3"/>
      <c r="AX41" s="3"/>
      <c r="AY41" s="3"/>
      <c r="AZ41" s="3"/>
      <c r="BA41" s="3"/>
      <c r="BB41" s="3"/>
      <c r="BC41" s="3"/>
      <c r="BD41" s="20">
        <v>2</v>
      </c>
      <c r="BE41" s="11" t="str">
        <f>VLOOKUP(1312,ls!$B:$E,$BA$2,TRUE)</f>
        <v>初中</v>
      </c>
      <c r="BF41" s="11" t="str">
        <f>VLOOKUP(1312,ls!$B:$E,$BA$3,TRUE)</f>
        <v>Junior high school</v>
      </c>
      <c r="BG41" s="17" t="str">
        <f t="shared" ref="BG41:BG47" si="4">BE41&amp;"  /  "&amp;BF41</f>
        <v>初中  /  Junior high school</v>
      </c>
      <c r="BH41" s="11" t="str">
        <f>VLOOKUP(1312,ls!$B:$E,2,TRUE)</f>
        <v>中学校</v>
      </c>
      <c r="BI41" s="3"/>
      <c r="BJ41" s="3"/>
      <c r="BK41" s="3"/>
      <c r="BL41" s="3"/>
      <c r="BM41" s="3"/>
      <c r="BN41" s="3"/>
      <c r="BO41" s="3"/>
    </row>
    <row r="42" spans="1:67" ht="15" customHeight="1">
      <c r="A42" s="4"/>
      <c r="B42" s="3"/>
      <c r="C42" s="131" t="s">
        <v>17</v>
      </c>
      <c r="D42" s="120"/>
      <c r="E42" s="358"/>
      <c r="F42" s="358"/>
      <c r="G42" s="358"/>
      <c r="H42" s="358"/>
      <c r="I42" s="358"/>
      <c r="J42" s="358"/>
      <c r="K42" s="358"/>
      <c r="L42" s="358"/>
      <c r="M42" s="358"/>
      <c r="N42" s="358"/>
      <c r="O42" s="3"/>
      <c r="P42" s="358"/>
      <c r="Q42" s="358"/>
      <c r="R42" s="358"/>
      <c r="S42" s="358"/>
      <c r="T42" s="358"/>
      <c r="U42" s="358"/>
      <c r="V42" s="358"/>
      <c r="W42" s="358"/>
      <c r="X42" s="358"/>
      <c r="Y42" s="358"/>
      <c r="Z42" s="358"/>
      <c r="AA42" s="358"/>
      <c r="AB42" s="358"/>
      <c r="AC42" s="358"/>
      <c r="AD42" s="358"/>
      <c r="AE42" s="358"/>
      <c r="AF42" s="3"/>
      <c r="AG42" s="351"/>
      <c r="AH42" s="351"/>
      <c r="AI42" s="18" t="s">
        <v>24</v>
      </c>
      <c r="AJ42" s="351"/>
      <c r="AK42" s="351"/>
      <c r="AL42" s="3" t="s">
        <v>25</v>
      </c>
      <c r="AM42" s="351"/>
      <c r="AN42" s="351"/>
      <c r="AO42" s="18" t="s">
        <v>24</v>
      </c>
      <c r="AP42" s="351"/>
      <c r="AQ42" s="351"/>
      <c r="AR42" s="43" t="str">
        <f t="shared" ref="AR42:AR46" si="5">IF(AND(ISNUMBER(AP42),NOT(ISNUMBER(AP43))),"〇","")</f>
        <v/>
      </c>
      <c r="AS42" s="2">
        <f t="shared" ref="AS42:AS46" si="6">IF(AND(ISNUMBER(AJ42),ISNUMBER(AP42)),(AM42*12+AP42)-(AG42*12+AJ42),0)</f>
        <v>0</v>
      </c>
      <c r="AT42" s="3"/>
      <c r="AU42" s="3"/>
      <c r="AV42" s="3"/>
      <c r="AW42" s="3"/>
      <c r="AX42" s="3"/>
      <c r="AY42" s="3"/>
      <c r="AZ42" s="3"/>
      <c r="BA42" s="14"/>
      <c r="BB42" s="25"/>
      <c r="BC42" s="3"/>
      <c r="BD42" s="20">
        <v>3</v>
      </c>
      <c r="BE42" s="11" t="str">
        <f>VLOOKUP(1313,ls!$B:$E,$BA$2,TRUE)</f>
        <v>高级中学</v>
      </c>
      <c r="BF42" s="11" t="str">
        <f>VLOOKUP(1313,ls!$B:$E,$BA$3,TRUE)</f>
        <v>Senior high school</v>
      </c>
      <c r="BG42" s="17" t="str">
        <f t="shared" si="4"/>
        <v>高级中学  /  Senior high school</v>
      </c>
      <c r="BH42" s="11" t="str">
        <f>VLOOKUP(1313,ls!$B:$E,2,TRUE)</f>
        <v>高等学校</v>
      </c>
      <c r="BI42" s="3"/>
      <c r="BJ42" s="3"/>
      <c r="BK42" s="3"/>
      <c r="BL42" s="3"/>
      <c r="BM42" s="3"/>
      <c r="BN42" s="3"/>
      <c r="BO42" s="3"/>
    </row>
    <row r="43" spans="1:67" ht="15" customHeight="1">
      <c r="A43" s="4"/>
      <c r="B43" s="3"/>
      <c r="C43" s="131" t="s">
        <v>20</v>
      </c>
      <c r="D43" s="120"/>
      <c r="E43" s="358"/>
      <c r="F43" s="358"/>
      <c r="G43" s="358"/>
      <c r="H43" s="358"/>
      <c r="I43" s="358"/>
      <c r="J43" s="358"/>
      <c r="K43" s="358"/>
      <c r="L43" s="358"/>
      <c r="M43" s="358"/>
      <c r="N43" s="358"/>
      <c r="O43" s="3"/>
      <c r="P43" s="358"/>
      <c r="Q43" s="358"/>
      <c r="R43" s="358"/>
      <c r="S43" s="358"/>
      <c r="T43" s="358"/>
      <c r="U43" s="358"/>
      <c r="V43" s="358"/>
      <c r="W43" s="358"/>
      <c r="X43" s="358"/>
      <c r="Y43" s="358"/>
      <c r="Z43" s="358"/>
      <c r="AA43" s="358"/>
      <c r="AB43" s="358"/>
      <c r="AC43" s="358"/>
      <c r="AD43" s="358"/>
      <c r="AE43" s="358"/>
      <c r="AF43" s="3"/>
      <c r="AG43" s="351"/>
      <c r="AH43" s="351"/>
      <c r="AI43" s="18" t="s">
        <v>24</v>
      </c>
      <c r="AJ43" s="351"/>
      <c r="AK43" s="351"/>
      <c r="AL43" s="3" t="s">
        <v>25</v>
      </c>
      <c r="AM43" s="351"/>
      <c r="AN43" s="351"/>
      <c r="AO43" s="18" t="s">
        <v>24</v>
      </c>
      <c r="AP43" s="351"/>
      <c r="AQ43" s="351"/>
      <c r="AR43" s="43" t="str">
        <f t="shared" si="5"/>
        <v/>
      </c>
      <c r="AS43" s="2">
        <f t="shared" si="6"/>
        <v>0</v>
      </c>
      <c r="AT43" s="3"/>
      <c r="AU43" s="3"/>
      <c r="AV43" s="3"/>
      <c r="AW43" s="3"/>
      <c r="AX43" s="3"/>
      <c r="AY43" s="3"/>
      <c r="AZ43" s="3"/>
      <c r="BA43" s="14"/>
      <c r="BB43" s="22"/>
      <c r="BC43" s="3"/>
      <c r="BD43" s="20">
        <v>4</v>
      </c>
      <c r="BE43" s="11" t="str">
        <f>VLOOKUP(1314,ls!$B:$E,$BA$2,TRUE)</f>
        <v>专门学校</v>
      </c>
      <c r="BF43" s="11" t="str">
        <f>VLOOKUP(1314,ls!$B:$E,$BA$3,TRUE)</f>
        <v>College</v>
      </c>
      <c r="BG43" s="17" t="str">
        <f t="shared" si="4"/>
        <v>专门学校  /  College</v>
      </c>
      <c r="BH43" s="11" t="str">
        <f>VLOOKUP(1314,ls!$B:$E,2,TRUE)</f>
        <v>専門学校</v>
      </c>
      <c r="BI43" s="3"/>
      <c r="BJ43" s="3"/>
      <c r="BK43" s="3"/>
      <c r="BL43" s="3"/>
      <c r="BM43" s="3"/>
      <c r="BN43" s="3"/>
      <c r="BO43" s="3"/>
    </row>
    <row r="44" spans="1:67" ht="15" customHeight="1">
      <c r="A44" s="4"/>
      <c r="B44" s="3"/>
      <c r="C44" s="131" t="s">
        <v>21</v>
      </c>
      <c r="D44" s="120"/>
      <c r="E44" s="358"/>
      <c r="F44" s="358"/>
      <c r="G44" s="358"/>
      <c r="H44" s="358"/>
      <c r="I44" s="358"/>
      <c r="J44" s="358"/>
      <c r="K44" s="358"/>
      <c r="L44" s="358"/>
      <c r="M44" s="358"/>
      <c r="N44" s="358"/>
      <c r="O44" s="3"/>
      <c r="P44" s="358"/>
      <c r="Q44" s="358"/>
      <c r="R44" s="358"/>
      <c r="S44" s="358"/>
      <c r="T44" s="358"/>
      <c r="U44" s="358"/>
      <c r="V44" s="358"/>
      <c r="W44" s="358"/>
      <c r="X44" s="358"/>
      <c r="Y44" s="358"/>
      <c r="Z44" s="358"/>
      <c r="AA44" s="358"/>
      <c r="AB44" s="358"/>
      <c r="AC44" s="358"/>
      <c r="AD44" s="358"/>
      <c r="AE44" s="358"/>
      <c r="AF44" s="3"/>
      <c r="AG44" s="351"/>
      <c r="AH44" s="351"/>
      <c r="AI44" s="18" t="s">
        <v>24</v>
      </c>
      <c r="AJ44" s="351"/>
      <c r="AK44" s="351"/>
      <c r="AL44" s="3" t="s">
        <v>25</v>
      </c>
      <c r="AM44" s="351"/>
      <c r="AN44" s="351"/>
      <c r="AO44" s="18" t="s">
        <v>24</v>
      </c>
      <c r="AP44" s="351"/>
      <c r="AQ44" s="351"/>
      <c r="AR44" s="43" t="str">
        <f t="shared" si="5"/>
        <v/>
      </c>
      <c r="AS44" s="2">
        <f t="shared" si="6"/>
        <v>0</v>
      </c>
      <c r="AT44" s="3"/>
      <c r="AU44" s="3"/>
      <c r="AV44" s="3"/>
      <c r="AW44" s="3"/>
      <c r="AX44" s="3"/>
      <c r="AY44" s="3"/>
      <c r="AZ44" s="3"/>
      <c r="BA44" s="3"/>
      <c r="BB44" s="19"/>
      <c r="BC44" s="3"/>
      <c r="BD44" s="20">
        <v>5</v>
      </c>
      <c r="BE44" s="11" t="str">
        <f>VLOOKUP(1315,ls!$B:$E,$BA$2,TRUE)</f>
        <v>短期大学(専科)</v>
      </c>
      <c r="BF44" s="11" t="str">
        <f>VLOOKUP(1315,ls!$B:$E,$BA$3,TRUE)</f>
        <v>Junior college</v>
      </c>
      <c r="BG44" s="17" t="str">
        <f t="shared" si="4"/>
        <v>短期大学(専科)  /  Junior college</v>
      </c>
      <c r="BH44" s="11" t="str">
        <f>VLOOKUP(1315,ls!$B:$E,2,TRUE)</f>
        <v>短期大学</v>
      </c>
      <c r="BI44" s="3"/>
      <c r="BJ44" s="3"/>
      <c r="BK44" s="3"/>
      <c r="BL44" s="3"/>
      <c r="BM44" s="3"/>
      <c r="BN44" s="3"/>
      <c r="BO44" s="3"/>
    </row>
    <row r="45" spans="1:67" ht="15" customHeight="1">
      <c r="A45" s="4"/>
      <c r="B45" s="3"/>
      <c r="C45" s="131" t="s">
        <v>22</v>
      </c>
      <c r="D45" s="120"/>
      <c r="E45" s="358"/>
      <c r="F45" s="358"/>
      <c r="G45" s="358"/>
      <c r="H45" s="358"/>
      <c r="I45" s="358"/>
      <c r="J45" s="358"/>
      <c r="K45" s="358"/>
      <c r="L45" s="358"/>
      <c r="M45" s="358"/>
      <c r="N45" s="358"/>
      <c r="O45" s="3"/>
      <c r="P45" s="358"/>
      <c r="Q45" s="358"/>
      <c r="R45" s="358"/>
      <c r="S45" s="358"/>
      <c r="T45" s="358"/>
      <c r="U45" s="358"/>
      <c r="V45" s="358"/>
      <c r="W45" s="358"/>
      <c r="X45" s="358"/>
      <c r="Y45" s="358"/>
      <c r="Z45" s="358"/>
      <c r="AA45" s="358"/>
      <c r="AB45" s="358"/>
      <c r="AC45" s="358"/>
      <c r="AD45" s="358"/>
      <c r="AE45" s="358"/>
      <c r="AF45" s="3"/>
      <c r="AG45" s="351"/>
      <c r="AH45" s="351"/>
      <c r="AI45" s="18" t="s">
        <v>24</v>
      </c>
      <c r="AJ45" s="351"/>
      <c r="AK45" s="351"/>
      <c r="AL45" s="3" t="s">
        <v>25</v>
      </c>
      <c r="AM45" s="351"/>
      <c r="AN45" s="351"/>
      <c r="AO45" s="18" t="s">
        <v>24</v>
      </c>
      <c r="AP45" s="351"/>
      <c r="AQ45" s="351"/>
      <c r="AR45" s="43" t="str">
        <f t="shared" si="5"/>
        <v/>
      </c>
      <c r="AS45" s="2">
        <f t="shared" si="6"/>
        <v>0</v>
      </c>
      <c r="AT45" s="3"/>
      <c r="AU45" s="3"/>
      <c r="AV45" s="3"/>
      <c r="AW45" s="3"/>
      <c r="AX45" s="3"/>
      <c r="AY45" s="3"/>
      <c r="AZ45" s="3"/>
      <c r="BA45" s="14"/>
      <c r="BB45" s="14"/>
      <c r="BC45" s="3"/>
      <c r="BD45" s="20">
        <v>6</v>
      </c>
      <c r="BE45" s="11" t="str">
        <f>VLOOKUP(1316,ls!$B:$E,$BA$2,TRUE)</f>
        <v>大学(学士)</v>
      </c>
      <c r="BF45" s="11" t="str">
        <f>VLOOKUP(1316,ls!$B:$E,$BA$3,TRUE)</f>
        <v>Bachelor</v>
      </c>
      <c r="BG45" s="17" t="str">
        <f t="shared" si="4"/>
        <v>大学(学士)  /  Bachelor</v>
      </c>
      <c r="BH45" s="11" t="str">
        <f>VLOOKUP(1316,ls!$B:$E,2,TRUE)</f>
        <v>大学(学士)</v>
      </c>
      <c r="BI45" s="3"/>
      <c r="BJ45" s="3"/>
      <c r="BK45" s="3"/>
      <c r="BL45" s="3"/>
      <c r="BM45" s="3"/>
      <c r="BN45" s="3"/>
      <c r="BO45" s="3"/>
    </row>
    <row r="46" spans="1:67" ht="15" customHeight="1">
      <c r="A46" s="4"/>
      <c r="B46" s="3"/>
      <c r="C46" s="131" t="s">
        <v>26</v>
      </c>
      <c r="D46" s="120"/>
      <c r="E46" s="358"/>
      <c r="F46" s="358"/>
      <c r="G46" s="358"/>
      <c r="H46" s="358"/>
      <c r="I46" s="358"/>
      <c r="J46" s="358"/>
      <c r="K46" s="358"/>
      <c r="L46" s="358"/>
      <c r="M46" s="358"/>
      <c r="N46" s="358"/>
      <c r="O46" s="3"/>
      <c r="P46" s="358"/>
      <c r="Q46" s="358"/>
      <c r="R46" s="358"/>
      <c r="S46" s="358"/>
      <c r="T46" s="358"/>
      <c r="U46" s="358"/>
      <c r="V46" s="358"/>
      <c r="W46" s="358"/>
      <c r="X46" s="358"/>
      <c r="Y46" s="358"/>
      <c r="Z46" s="358"/>
      <c r="AA46" s="358"/>
      <c r="AB46" s="358"/>
      <c r="AC46" s="358"/>
      <c r="AD46" s="358"/>
      <c r="AE46" s="358"/>
      <c r="AF46" s="3"/>
      <c r="AG46" s="351"/>
      <c r="AH46" s="351"/>
      <c r="AI46" s="18" t="s">
        <v>24</v>
      </c>
      <c r="AJ46" s="351"/>
      <c r="AK46" s="351"/>
      <c r="AL46" s="3" t="s">
        <v>25</v>
      </c>
      <c r="AM46" s="351"/>
      <c r="AN46" s="351"/>
      <c r="AO46" s="18" t="s">
        <v>24</v>
      </c>
      <c r="AP46" s="351"/>
      <c r="AQ46" s="351"/>
      <c r="AR46" s="43" t="str">
        <f t="shared" si="5"/>
        <v/>
      </c>
      <c r="AS46" s="2">
        <f t="shared" si="6"/>
        <v>0</v>
      </c>
      <c r="AT46" s="3"/>
      <c r="AU46" s="3"/>
      <c r="AV46" s="3"/>
      <c r="AW46" s="3"/>
      <c r="AX46" s="3"/>
      <c r="AY46" s="3"/>
      <c r="AZ46" s="3"/>
      <c r="BA46" s="3"/>
      <c r="BB46" s="19"/>
      <c r="BC46" s="3"/>
      <c r="BD46" s="20">
        <v>7</v>
      </c>
      <c r="BE46" s="11" t="str">
        <f>VLOOKUP(1317,ls!$B:$E,$BA$2,TRUE)</f>
        <v>大学院(硕士)</v>
      </c>
      <c r="BF46" s="11" t="str">
        <f>VLOOKUP(1317,ls!$B:$E,$BA$3,TRUE)</f>
        <v>Master</v>
      </c>
      <c r="BG46" s="17" t="str">
        <f t="shared" si="4"/>
        <v>大学院(硕士)  /  Master</v>
      </c>
      <c r="BH46" s="11" t="str">
        <f>VLOOKUP(1317,ls!$B:$E,2,TRUE)</f>
        <v>大学院(修士)</v>
      </c>
      <c r="BI46" s="3"/>
      <c r="BJ46" s="3"/>
      <c r="BK46" s="3"/>
      <c r="BL46" s="3"/>
      <c r="BM46" s="3"/>
      <c r="BN46" s="3"/>
      <c r="BO46" s="3"/>
    </row>
    <row r="47" spans="1:67" ht="15" customHeight="1">
      <c r="A47" s="4"/>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44" t="s">
        <v>27</v>
      </c>
      <c r="AS47" s="2">
        <f>SUM(AS41:AS46)</f>
        <v>0</v>
      </c>
      <c r="AT47" s="3"/>
      <c r="AU47" s="3" t="s">
        <v>28</v>
      </c>
      <c r="AV47" s="3"/>
      <c r="AW47" s="3" t="s">
        <v>29</v>
      </c>
      <c r="AX47" s="3"/>
      <c r="AY47" s="3"/>
      <c r="AZ47" s="3"/>
      <c r="BA47" s="3"/>
      <c r="BB47" s="3"/>
      <c r="BC47" s="3"/>
      <c r="BD47" s="20">
        <v>8</v>
      </c>
      <c r="BE47" s="11" t="str">
        <f>VLOOKUP(1318,ls!$B:$E,$BA$2,TRUE)</f>
        <v>大学院(博士)</v>
      </c>
      <c r="BF47" s="11" t="str">
        <f>VLOOKUP(1318,ls!$B:$E,$BA$3,TRUE)</f>
        <v>Doctor</v>
      </c>
      <c r="BG47" s="17" t="str">
        <f t="shared" si="4"/>
        <v>大学院(博士)  /  Doctor</v>
      </c>
      <c r="BH47" s="11" t="str">
        <f>VLOOKUP(1318,ls!$B:$E,2,TRUE)</f>
        <v>大学院(博士)</v>
      </c>
      <c r="BI47" s="3"/>
      <c r="BJ47" s="3"/>
      <c r="BK47" s="3"/>
      <c r="BL47" s="3"/>
      <c r="BM47" s="3"/>
      <c r="BN47" s="3"/>
      <c r="BO47" s="3"/>
    </row>
    <row r="48" spans="1:67" ht="15" customHeight="1">
      <c r="A48" s="4">
        <v>9</v>
      </c>
      <c r="B48" s="3" t="s">
        <v>9</v>
      </c>
      <c r="C48" s="119" t="str">
        <f>VLOOKUP(1320,ls!$B:$E,$BA$2,TRUE)</f>
        <v>日本语学历</v>
      </c>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3"/>
      <c r="AC48" s="3"/>
      <c r="AD48" s="3"/>
      <c r="AE48" s="3"/>
      <c r="AF48" s="3"/>
      <c r="AG48" s="3"/>
      <c r="AH48" s="3"/>
      <c r="AI48" s="3"/>
      <c r="AJ48" s="3"/>
      <c r="AK48" s="3"/>
      <c r="AL48" s="3"/>
      <c r="AM48" s="3"/>
      <c r="AN48" s="3"/>
      <c r="AO48" s="3"/>
      <c r="AP48" s="3"/>
      <c r="AQ48" s="3"/>
      <c r="AR48" s="4" t="s">
        <v>30</v>
      </c>
      <c r="AS48" s="45" t="str">
        <f>ROUNDDOWN(AS47/12,0) &amp; "年" &amp; MOD(AS47,12)&amp; "月"</f>
        <v>0年0月</v>
      </c>
      <c r="AT48" s="3"/>
      <c r="AU48" s="46" t="str">
        <f>BD56</f>
        <v/>
      </c>
      <c r="AV48" s="3"/>
      <c r="AW48" s="47" t="str">
        <f>BE56</f>
        <v/>
      </c>
      <c r="AX48" s="3"/>
      <c r="AY48" s="3"/>
      <c r="AZ48" s="3"/>
      <c r="BA48" s="3"/>
      <c r="BB48" s="3"/>
      <c r="BC48" s="3"/>
      <c r="BD48" s="5"/>
      <c r="BE48" s="5"/>
      <c r="BF48" s="5"/>
      <c r="BG48" s="5"/>
      <c r="BH48" s="5"/>
      <c r="BI48" s="3"/>
      <c r="BJ48" s="3"/>
      <c r="BK48" s="3"/>
      <c r="BL48" s="3"/>
      <c r="BM48" s="3"/>
      <c r="BN48" s="3"/>
      <c r="BO48" s="3"/>
    </row>
    <row r="49" spans="1:67" ht="15" customHeight="1">
      <c r="A49" s="21"/>
      <c r="B49" s="14"/>
      <c r="C49" s="123" t="str">
        <f>VLOOKUP(1320,ls!$B:$E,$BA$3,TRUE)</f>
        <v>Japanese Language Background</v>
      </c>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4"/>
      <c r="AC49" s="14"/>
      <c r="AD49" s="14"/>
      <c r="AE49" s="14"/>
      <c r="AF49" s="14"/>
      <c r="AG49" s="120" t="str">
        <f>VLOOKUP(1290,ls!$B:$E,$BA$2,TRUE)</f>
        <v>学习期间</v>
      </c>
      <c r="AH49" s="120"/>
      <c r="AI49" s="120"/>
      <c r="AJ49" s="120"/>
      <c r="AK49" s="120"/>
      <c r="AL49" s="120"/>
      <c r="AM49" s="120"/>
      <c r="AN49" s="120"/>
      <c r="AO49" s="120"/>
      <c r="AP49" s="120"/>
      <c r="AQ49" s="120"/>
      <c r="AR49" s="22"/>
      <c r="AS49" s="22"/>
      <c r="AT49" s="3"/>
      <c r="AU49" s="14"/>
      <c r="AV49" s="14"/>
      <c r="AW49" s="14"/>
      <c r="AX49" s="14"/>
      <c r="AY49" s="14"/>
      <c r="AZ49" s="14"/>
      <c r="BA49" s="14"/>
      <c r="BB49" s="14"/>
      <c r="BC49" s="14"/>
      <c r="BD49" s="11" t="str">
        <f t="shared" ref="BD49:BD54" si="7">IF(AR41&lt;&gt;"",E41,"")</f>
        <v/>
      </c>
      <c r="BE49" s="48" t="str">
        <f t="shared" ref="BE49:BE54" si="8">IF(AR41&lt;&gt;"",DATE(AM41,AP41,1),"")</f>
        <v/>
      </c>
      <c r="BF49" s="5"/>
      <c r="BG49" s="5"/>
      <c r="BH49" s="5"/>
      <c r="BI49" s="14"/>
      <c r="BJ49" s="14"/>
      <c r="BK49" s="14"/>
      <c r="BL49" s="14"/>
      <c r="BM49" s="14"/>
      <c r="BN49" s="14"/>
      <c r="BO49" s="14"/>
    </row>
    <row r="50" spans="1:67" ht="15" customHeight="1">
      <c r="A50" s="21"/>
      <c r="B50" s="1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14"/>
      <c r="AC50" s="14"/>
      <c r="AD50" s="14"/>
      <c r="AE50" s="14"/>
      <c r="AF50" s="14"/>
      <c r="AG50" s="124" t="str">
        <f>VLOOKUP(1290,ls!$B:$E,$BA$3,TRUE)</f>
        <v>Period of Schooling</v>
      </c>
      <c r="AH50" s="124"/>
      <c r="AI50" s="124"/>
      <c r="AJ50" s="124"/>
      <c r="AK50" s="124"/>
      <c r="AL50" s="124"/>
      <c r="AM50" s="124"/>
      <c r="AN50" s="124"/>
      <c r="AO50" s="124"/>
      <c r="AP50" s="124"/>
      <c r="AQ50" s="124"/>
      <c r="AR50" s="22"/>
      <c r="AS50" s="22"/>
      <c r="AT50" s="3"/>
      <c r="AU50" s="14"/>
      <c r="AV50" s="14"/>
      <c r="AW50" s="14"/>
      <c r="AX50" s="14"/>
      <c r="AY50" s="14"/>
      <c r="AZ50" s="14"/>
      <c r="BA50" s="14"/>
      <c r="BB50" s="14"/>
      <c r="BC50" s="14"/>
      <c r="BD50" s="11" t="str">
        <f t="shared" si="7"/>
        <v/>
      </c>
      <c r="BE50" s="48" t="str">
        <f t="shared" si="8"/>
        <v/>
      </c>
      <c r="BF50" s="5"/>
      <c r="BG50" s="5"/>
      <c r="BH50" s="5"/>
      <c r="BI50" s="14"/>
      <c r="BJ50" s="14"/>
      <c r="BK50" s="14"/>
      <c r="BL50" s="14"/>
      <c r="BM50" s="14"/>
      <c r="BN50" s="14"/>
      <c r="BO50" s="14"/>
    </row>
    <row r="51" spans="1:67" ht="15" customHeight="1">
      <c r="A51" s="4"/>
      <c r="B51" s="3"/>
      <c r="C51" s="26"/>
      <c r="D51" s="3"/>
      <c r="E51" s="120" t="str">
        <f>VLOOKUP(1270,ls!$B:$E,$BA$2,TRUE)</f>
        <v>学校名称</v>
      </c>
      <c r="F51" s="120"/>
      <c r="G51" s="120"/>
      <c r="H51" s="120"/>
      <c r="I51" s="120"/>
      <c r="J51" s="120"/>
      <c r="K51" s="120"/>
      <c r="L51" s="120"/>
      <c r="M51" s="120"/>
      <c r="N51" s="120"/>
      <c r="O51" s="3"/>
      <c r="P51" s="120" t="str">
        <f>VLOOKUP(1280,ls!$B:$E,$BA$2,TRUE)</f>
        <v>地址</v>
      </c>
      <c r="Q51" s="120"/>
      <c r="R51" s="120"/>
      <c r="S51" s="120"/>
      <c r="T51" s="120"/>
      <c r="U51" s="120"/>
      <c r="V51" s="120"/>
      <c r="W51" s="120"/>
      <c r="X51" s="120"/>
      <c r="Y51" s="120"/>
      <c r="Z51" s="120"/>
      <c r="AA51" s="120"/>
      <c r="AB51" s="120"/>
      <c r="AC51" s="120"/>
      <c r="AD51" s="120"/>
      <c r="AE51" s="120"/>
      <c r="AF51" s="3"/>
      <c r="AG51" s="120" t="str">
        <f>VLOOKUP(1300,ls!$B:$E,$BA$2,TRUE)</f>
        <v>入学年月</v>
      </c>
      <c r="AH51" s="120"/>
      <c r="AI51" s="120"/>
      <c r="AJ51" s="120"/>
      <c r="AK51" s="120"/>
      <c r="AL51" s="3"/>
      <c r="AM51" s="120" t="str">
        <f>VLOOKUP(1310,ls!$B:$E,$BA$2,TRUE)</f>
        <v>毕业年月</v>
      </c>
      <c r="AN51" s="120"/>
      <c r="AO51" s="120"/>
      <c r="AP51" s="120"/>
      <c r="AQ51" s="120"/>
      <c r="AR51" s="2" t="str">
        <f>VLOOKUP(1321,ls!$B:$E,$BA$2,TRUE)</f>
        <v>学习时数</v>
      </c>
      <c r="AS51" s="2"/>
      <c r="AT51" s="3"/>
      <c r="AU51" s="3"/>
      <c r="AV51" s="3"/>
      <c r="AW51" s="3"/>
      <c r="AX51" s="3"/>
      <c r="AY51" s="3"/>
      <c r="AZ51" s="3"/>
      <c r="BA51" s="3"/>
      <c r="BB51" s="3"/>
      <c r="BC51" s="3"/>
      <c r="BD51" s="11" t="str">
        <f t="shared" si="7"/>
        <v/>
      </c>
      <c r="BE51" s="48" t="str">
        <f t="shared" si="8"/>
        <v/>
      </c>
      <c r="BF51" s="5"/>
      <c r="BG51" s="5"/>
      <c r="BH51" s="5"/>
      <c r="BI51" s="3"/>
      <c r="BJ51" s="3"/>
      <c r="BK51" s="3"/>
      <c r="BL51" s="3"/>
      <c r="BM51" s="3"/>
      <c r="BN51" s="3"/>
      <c r="BO51" s="3"/>
    </row>
    <row r="52" spans="1:67" ht="15" customHeight="1">
      <c r="A52" s="21"/>
      <c r="B52" s="14"/>
      <c r="C52" s="14"/>
      <c r="D52" s="14"/>
      <c r="E52" s="124" t="str">
        <f>VLOOKUP(1270,ls!$B:$E,$BA$3,TRUE)</f>
        <v>Name of School</v>
      </c>
      <c r="F52" s="124"/>
      <c r="G52" s="124"/>
      <c r="H52" s="124"/>
      <c r="I52" s="124"/>
      <c r="J52" s="124"/>
      <c r="K52" s="124"/>
      <c r="L52" s="124"/>
      <c r="M52" s="124"/>
      <c r="N52" s="124"/>
      <c r="O52" s="14"/>
      <c r="P52" s="124" t="str">
        <f>VLOOKUP(1280,ls!$B:$E,$BA$3,TRUE)</f>
        <v>Location</v>
      </c>
      <c r="Q52" s="124"/>
      <c r="R52" s="124"/>
      <c r="S52" s="124"/>
      <c r="T52" s="124"/>
      <c r="U52" s="124"/>
      <c r="V52" s="124"/>
      <c r="W52" s="124"/>
      <c r="X52" s="124"/>
      <c r="Y52" s="124"/>
      <c r="Z52" s="124"/>
      <c r="AA52" s="124"/>
      <c r="AB52" s="124"/>
      <c r="AC52" s="124"/>
      <c r="AD52" s="124"/>
      <c r="AE52" s="124"/>
      <c r="AF52" s="14"/>
      <c r="AG52" s="124" t="str">
        <f>VLOOKUP(1300,ls!$B:$E,$BA$3,TRUE)</f>
        <v>Entrance( Y / M )</v>
      </c>
      <c r="AH52" s="124"/>
      <c r="AI52" s="124"/>
      <c r="AJ52" s="124"/>
      <c r="AK52" s="124"/>
      <c r="AL52" s="22"/>
      <c r="AM52" s="124" t="str">
        <f>VLOOKUP(1310,ls!$B:$E,$BA$3,TRUE)</f>
        <v>Graduation( Y / M )</v>
      </c>
      <c r="AN52" s="124"/>
      <c r="AO52" s="124"/>
      <c r="AP52" s="124"/>
      <c r="AQ52" s="124"/>
      <c r="AR52" s="14" t="str">
        <f>VLOOKUP(1321,ls!$B:$E,$BA$3,TRUE)</f>
        <v>Learning hours</v>
      </c>
      <c r="AS52" s="14"/>
      <c r="AT52" s="3"/>
      <c r="AU52" s="14"/>
      <c r="AV52" s="14"/>
      <c r="AW52" s="14"/>
      <c r="AX52" s="14"/>
      <c r="AY52" s="14"/>
      <c r="AZ52" s="14"/>
      <c r="BA52" s="14"/>
      <c r="BB52" s="14"/>
      <c r="BC52" s="14"/>
      <c r="BD52" s="11" t="str">
        <f t="shared" si="7"/>
        <v/>
      </c>
      <c r="BE52" s="48" t="str">
        <f t="shared" si="8"/>
        <v/>
      </c>
      <c r="BF52" s="5"/>
      <c r="BG52" s="5"/>
      <c r="BH52" s="5"/>
      <c r="BI52" s="14"/>
      <c r="BJ52" s="14"/>
      <c r="BK52" s="14"/>
      <c r="BL52" s="14"/>
      <c r="BM52" s="14"/>
      <c r="BN52" s="14"/>
      <c r="BO52" s="14"/>
    </row>
    <row r="53" spans="1:67" ht="15" customHeight="1">
      <c r="A53" s="4"/>
      <c r="B53" s="3"/>
      <c r="C53" s="131" t="s">
        <v>13</v>
      </c>
      <c r="D53" s="120"/>
      <c r="E53" s="358"/>
      <c r="F53" s="358"/>
      <c r="G53" s="358"/>
      <c r="H53" s="358"/>
      <c r="I53" s="358"/>
      <c r="J53" s="358"/>
      <c r="K53" s="358"/>
      <c r="L53" s="358"/>
      <c r="M53" s="358"/>
      <c r="N53" s="358"/>
      <c r="O53" s="3"/>
      <c r="P53" s="358"/>
      <c r="Q53" s="358"/>
      <c r="R53" s="358"/>
      <c r="S53" s="358"/>
      <c r="T53" s="358"/>
      <c r="U53" s="358"/>
      <c r="V53" s="358"/>
      <c r="W53" s="358"/>
      <c r="X53" s="358"/>
      <c r="Y53" s="358"/>
      <c r="Z53" s="358"/>
      <c r="AA53" s="358"/>
      <c r="AB53" s="358"/>
      <c r="AC53" s="358"/>
      <c r="AD53" s="358"/>
      <c r="AE53" s="358"/>
      <c r="AF53" s="3"/>
      <c r="AG53" s="351"/>
      <c r="AH53" s="351"/>
      <c r="AI53" s="43" t="s">
        <v>24</v>
      </c>
      <c r="AJ53" s="351"/>
      <c r="AK53" s="351"/>
      <c r="AL53" s="3" t="s">
        <v>25</v>
      </c>
      <c r="AM53" s="351"/>
      <c r="AN53" s="351"/>
      <c r="AO53" s="18" t="s">
        <v>24</v>
      </c>
      <c r="AP53" s="351"/>
      <c r="AQ53" s="351"/>
      <c r="AR53" s="49"/>
      <c r="AS53" s="123" t="str">
        <f>VLOOKUP(1322,ls!$B:$E,$BA$2,TRUE)&amp;"/"&amp;VLOOKUP(1322,ls!$B:$E,$BA$3,TRUE)</f>
        <v>时数/hours</v>
      </c>
      <c r="AT53" s="123"/>
      <c r="AU53" s="123"/>
      <c r="AV53" s="3"/>
      <c r="AW53" s="3"/>
      <c r="AX53" s="3"/>
      <c r="AY53" s="3"/>
      <c r="AZ53" s="3"/>
      <c r="BA53" s="3"/>
      <c r="BB53" s="3"/>
      <c r="BC53" s="3"/>
      <c r="BD53" s="11" t="str">
        <f t="shared" si="7"/>
        <v/>
      </c>
      <c r="BE53" s="48" t="str">
        <f t="shared" si="8"/>
        <v/>
      </c>
      <c r="BF53" s="5"/>
      <c r="BG53" s="5"/>
      <c r="BH53" s="5"/>
      <c r="BI53" s="3"/>
      <c r="BJ53" s="3"/>
      <c r="BK53" s="3"/>
      <c r="BL53" s="3"/>
      <c r="BM53" s="3"/>
      <c r="BN53" s="3"/>
      <c r="BO53" s="3"/>
    </row>
    <row r="54" spans="1:67" ht="15" customHeight="1">
      <c r="A54" s="4"/>
      <c r="B54" s="3"/>
      <c r="C54" s="131" t="s">
        <v>17</v>
      </c>
      <c r="D54" s="120"/>
      <c r="E54" s="358"/>
      <c r="F54" s="358"/>
      <c r="G54" s="358"/>
      <c r="H54" s="358"/>
      <c r="I54" s="358"/>
      <c r="J54" s="358"/>
      <c r="K54" s="358"/>
      <c r="L54" s="358"/>
      <c r="M54" s="358"/>
      <c r="N54" s="358"/>
      <c r="O54" s="3"/>
      <c r="P54" s="358"/>
      <c r="Q54" s="358"/>
      <c r="R54" s="358"/>
      <c r="S54" s="358"/>
      <c r="T54" s="358"/>
      <c r="U54" s="358"/>
      <c r="V54" s="358"/>
      <c r="W54" s="358"/>
      <c r="X54" s="358"/>
      <c r="Y54" s="358"/>
      <c r="Z54" s="358"/>
      <c r="AA54" s="358"/>
      <c r="AB54" s="358"/>
      <c r="AC54" s="358"/>
      <c r="AD54" s="358"/>
      <c r="AE54" s="358"/>
      <c r="AF54" s="3"/>
      <c r="AG54" s="351"/>
      <c r="AH54" s="351"/>
      <c r="AI54" s="18" t="s">
        <v>24</v>
      </c>
      <c r="AJ54" s="351"/>
      <c r="AK54" s="351"/>
      <c r="AL54" s="3" t="s">
        <v>25</v>
      </c>
      <c r="AM54" s="351"/>
      <c r="AN54" s="351"/>
      <c r="AO54" s="18" t="s">
        <v>24</v>
      </c>
      <c r="AP54" s="351"/>
      <c r="AQ54" s="351"/>
      <c r="AR54" s="49"/>
      <c r="AS54" s="123" t="str">
        <f>VLOOKUP(1322,ls!$B:$E,$BA$2,TRUE)&amp;"/"&amp;VLOOKUP(1322,ls!$B:$E,$BA$3,TRUE)</f>
        <v>时数/hours</v>
      </c>
      <c r="AT54" s="123"/>
      <c r="AU54" s="123"/>
      <c r="AV54" s="3"/>
      <c r="AW54" s="3"/>
      <c r="AX54" s="3"/>
      <c r="AY54" s="3"/>
      <c r="AZ54" s="3"/>
      <c r="BA54" s="3"/>
      <c r="BB54" s="3"/>
      <c r="BC54" s="3"/>
      <c r="BD54" s="11" t="str">
        <f t="shared" si="7"/>
        <v/>
      </c>
      <c r="BE54" s="48" t="str">
        <f t="shared" si="8"/>
        <v/>
      </c>
      <c r="BF54" s="5"/>
      <c r="BG54" s="5"/>
      <c r="BH54" s="5"/>
      <c r="BI54" s="3"/>
      <c r="BJ54" s="3"/>
      <c r="BK54" s="3"/>
      <c r="BL54" s="3"/>
      <c r="BM54" s="3"/>
      <c r="BN54" s="3"/>
      <c r="BO54" s="3"/>
    </row>
    <row r="55" spans="1:67" ht="15" customHeight="1">
      <c r="A55" s="4"/>
      <c r="B55" s="3"/>
      <c r="C55" s="131" t="s">
        <v>20</v>
      </c>
      <c r="D55" s="120"/>
      <c r="E55" s="358"/>
      <c r="F55" s="358"/>
      <c r="G55" s="358"/>
      <c r="H55" s="358"/>
      <c r="I55" s="358"/>
      <c r="J55" s="358"/>
      <c r="K55" s="358"/>
      <c r="L55" s="358"/>
      <c r="M55" s="358"/>
      <c r="N55" s="358"/>
      <c r="O55" s="3"/>
      <c r="P55" s="358"/>
      <c r="Q55" s="358"/>
      <c r="R55" s="358"/>
      <c r="S55" s="358"/>
      <c r="T55" s="358"/>
      <c r="U55" s="358"/>
      <c r="V55" s="358"/>
      <c r="W55" s="358"/>
      <c r="X55" s="358"/>
      <c r="Y55" s="358"/>
      <c r="Z55" s="358"/>
      <c r="AA55" s="358"/>
      <c r="AB55" s="358"/>
      <c r="AC55" s="358"/>
      <c r="AD55" s="358"/>
      <c r="AE55" s="358"/>
      <c r="AF55" s="3"/>
      <c r="AG55" s="351"/>
      <c r="AH55" s="351"/>
      <c r="AI55" s="18" t="s">
        <v>24</v>
      </c>
      <c r="AJ55" s="351"/>
      <c r="AK55" s="351"/>
      <c r="AL55" s="3" t="s">
        <v>25</v>
      </c>
      <c r="AM55" s="351"/>
      <c r="AN55" s="351"/>
      <c r="AO55" s="18" t="s">
        <v>24</v>
      </c>
      <c r="AP55" s="351"/>
      <c r="AQ55" s="351"/>
      <c r="AR55" s="49"/>
      <c r="AS55" s="123" t="str">
        <f>VLOOKUP(1322,ls!$B:$E,$BA$2,TRUE)&amp;"/"&amp;VLOOKUP(1322,ls!$B:$E,$BA$3,TRUE)</f>
        <v>时数/hours</v>
      </c>
      <c r="AT55" s="123"/>
      <c r="AU55" s="123"/>
      <c r="AV55" s="3"/>
      <c r="AW55" s="3"/>
      <c r="AX55" s="3"/>
      <c r="AY55" s="3"/>
      <c r="AZ55" s="3"/>
      <c r="BA55" s="3"/>
      <c r="BB55" s="3"/>
      <c r="BC55" s="3"/>
      <c r="BD55" s="11"/>
      <c r="BE55" s="48"/>
      <c r="BF55" s="5"/>
      <c r="BG55" s="5"/>
      <c r="BH55" s="5"/>
      <c r="BI55" s="3"/>
      <c r="BJ55" s="3"/>
      <c r="BK55" s="3"/>
      <c r="BL55" s="3"/>
      <c r="BM55" s="3"/>
      <c r="BN55" s="3"/>
      <c r="BO55" s="3"/>
    </row>
    <row r="56" spans="1:67" ht="15" customHeight="1">
      <c r="A56" s="4"/>
      <c r="B56" s="3"/>
      <c r="C56" s="131" t="s">
        <v>21</v>
      </c>
      <c r="D56" s="120"/>
      <c r="E56" s="358"/>
      <c r="F56" s="358"/>
      <c r="G56" s="358"/>
      <c r="H56" s="358"/>
      <c r="I56" s="358"/>
      <c r="J56" s="358"/>
      <c r="K56" s="358"/>
      <c r="L56" s="358"/>
      <c r="M56" s="358"/>
      <c r="N56" s="358"/>
      <c r="O56" s="3"/>
      <c r="P56" s="358"/>
      <c r="Q56" s="358"/>
      <c r="R56" s="358"/>
      <c r="S56" s="358"/>
      <c r="T56" s="358"/>
      <c r="U56" s="358"/>
      <c r="V56" s="358"/>
      <c r="W56" s="358"/>
      <c r="X56" s="358"/>
      <c r="Y56" s="358"/>
      <c r="Z56" s="358"/>
      <c r="AA56" s="358"/>
      <c r="AB56" s="358"/>
      <c r="AC56" s="358"/>
      <c r="AD56" s="358"/>
      <c r="AE56" s="358"/>
      <c r="AF56" s="3"/>
      <c r="AG56" s="351"/>
      <c r="AH56" s="351"/>
      <c r="AI56" s="18" t="s">
        <v>24</v>
      </c>
      <c r="AJ56" s="351"/>
      <c r="AK56" s="351"/>
      <c r="AL56" s="3" t="s">
        <v>25</v>
      </c>
      <c r="AM56" s="351"/>
      <c r="AN56" s="351"/>
      <c r="AO56" s="43" t="s">
        <v>24</v>
      </c>
      <c r="AP56" s="351"/>
      <c r="AQ56" s="351"/>
      <c r="AR56" s="49"/>
      <c r="AS56" s="123" t="str">
        <f>VLOOKUP(1322,ls!$B:$E,$BA$2,TRUE)&amp;"/"&amp;VLOOKUP(1322,ls!$B:$E,$BA$3,TRUE)</f>
        <v>时数/hours</v>
      </c>
      <c r="AT56" s="123"/>
      <c r="AU56" s="123"/>
      <c r="AV56" s="3"/>
      <c r="AW56" s="3"/>
      <c r="AX56" s="3"/>
      <c r="AY56" s="3"/>
      <c r="AZ56" s="3"/>
      <c r="BA56" s="3"/>
      <c r="BB56" s="3"/>
      <c r="BC56" s="3"/>
      <c r="BD56" s="11" t="str">
        <f>BD49&amp;BD50&amp;BD51&amp;BD52&amp;BD53&amp;BD54</f>
        <v/>
      </c>
      <c r="BE56" s="48" t="str">
        <f>IF(ISERROR(INT(BE49&amp;BE50&amp;BE51&amp;BE52&amp;BE53&amp;BE54)),"",INT(BE49&amp;BE50&amp;BE51&amp;BE52&amp;BE53&amp;BE54))</f>
        <v/>
      </c>
      <c r="BF56" s="5"/>
      <c r="BG56" s="5"/>
      <c r="BH56" s="5"/>
      <c r="BI56" s="3"/>
      <c r="BJ56" s="3"/>
      <c r="BK56" s="3"/>
      <c r="BL56" s="3"/>
      <c r="BM56" s="3"/>
      <c r="BN56" s="3"/>
      <c r="BO56" s="3"/>
    </row>
    <row r="57" spans="1:67" ht="15" customHeight="1">
      <c r="A57" s="4"/>
      <c r="B57" s="3"/>
      <c r="C57" s="131" t="s">
        <v>31</v>
      </c>
      <c r="D57" s="120"/>
      <c r="E57" s="358"/>
      <c r="F57" s="358"/>
      <c r="G57" s="358"/>
      <c r="H57" s="358"/>
      <c r="I57" s="358"/>
      <c r="J57" s="358"/>
      <c r="K57" s="358"/>
      <c r="L57" s="358"/>
      <c r="M57" s="358"/>
      <c r="N57" s="358"/>
      <c r="O57" s="3"/>
      <c r="P57" s="358"/>
      <c r="Q57" s="358"/>
      <c r="R57" s="358"/>
      <c r="S57" s="358"/>
      <c r="T57" s="358"/>
      <c r="U57" s="358"/>
      <c r="V57" s="358"/>
      <c r="W57" s="358"/>
      <c r="X57" s="358"/>
      <c r="Y57" s="358"/>
      <c r="Z57" s="358"/>
      <c r="AA57" s="358"/>
      <c r="AB57" s="358"/>
      <c r="AC57" s="358"/>
      <c r="AD57" s="358"/>
      <c r="AE57" s="358"/>
      <c r="AF57" s="3"/>
      <c r="AG57" s="351"/>
      <c r="AH57" s="351"/>
      <c r="AI57" s="18" t="s">
        <v>24</v>
      </c>
      <c r="AJ57" s="351"/>
      <c r="AK57" s="351"/>
      <c r="AL57" s="3" t="s">
        <v>25</v>
      </c>
      <c r="AM57" s="351"/>
      <c r="AN57" s="351"/>
      <c r="AO57" s="18" t="s">
        <v>24</v>
      </c>
      <c r="AP57" s="351"/>
      <c r="AQ57" s="351"/>
      <c r="AR57" s="49"/>
      <c r="AS57" s="123" t="str">
        <f>VLOOKUP(1322,ls!$B:$E,$BA$2,TRUE)&amp;"/"&amp;VLOOKUP(1322,ls!$B:$E,$BA$3,TRUE)</f>
        <v>时数/hours</v>
      </c>
      <c r="AT57" s="123"/>
      <c r="AU57" s="123"/>
      <c r="AV57" s="3"/>
      <c r="AW57" s="3"/>
      <c r="AX57" s="3"/>
      <c r="AY57" s="3"/>
      <c r="AZ57" s="3"/>
      <c r="BA57" s="3"/>
      <c r="BB57" s="3"/>
      <c r="BC57" s="3"/>
      <c r="BD57" s="5"/>
      <c r="BE57" s="5"/>
      <c r="BF57" s="5"/>
      <c r="BG57" s="5"/>
      <c r="BH57" s="5"/>
      <c r="BI57" s="3"/>
      <c r="BJ57" s="3"/>
      <c r="BK57" s="3"/>
      <c r="BL57" s="3"/>
      <c r="BM57" s="3"/>
      <c r="BN57" s="3"/>
      <c r="BO57" s="3"/>
    </row>
    <row r="58" spans="1:67" ht="15" customHeight="1">
      <c r="A58" s="4"/>
      <c r="B58" s="3"/>
      <c r="C58" s="2"/>
      <c r="D58" s="2"/>
      <c r="E58" s="2"/>
      <c r="F58" s="2"/>
      <c r="G58" s="2"/>
      <c r="H58" s="2"/>
      <c r="I58" s="2"/>
      <c r="J58" s="2"/>
      <c r="K58" s="2"/>
      <c r="L58" s="2"/>
      <c r="M58" s="2"/>
      <c r="N58" s="2"/>
      <c r="O58" s="3"/>
      <c r="P58" s="2"/>
      <c r="Q58" s="2"/>
      <c r="R58" s="2"/>
      <c r="S58" s="2"/>
      <c r="T58" s="2"/>
      <c r="U58" s="2"/>
      <c r="V58" s="2"/>
      <c r="W58" s="2"/>
      <c r="X58" s="2"/>
      <c r="Y58" s="2"/>
      <c r="Z58" s="2"/>
      <c r="AA58" s="2"/>
      <c r="AB58" s="2"/>
      <c r="AC58" s="2"/>
      <c r="AD58" s="2"/>
      <c r="AE58" s="2"/>
      <c r="AF58" s="3"/>
      <c r="AG58" s="2"/>
      <c r="AH58" s="2"/>
      <c r="AI58" s="2"/>
      <c r="AJ58" s="2"/>
      <c r="AK58" s="2"/>
      <c r="AL58" s="3"/>
      <c r="AM58" s="2"/>
      <c r="AN58" s="2"/>
      <c r="AO58" s="2"/>
      <c r="AP58" s="2"/>
      <c r="AQ58" s="2"/>
      <c r="AR58" s="50">
        <f>SUM(AR53:AR57)</f>
        <v>0</v>
      </c>
      <c r="AS58" s="2"/>
      <c r="AT58" s="3"/>
      <c r="AU58" s="3"/>
      <c r="AV58" s="3"/>
      <c r="AW58" s="3"/>
      <c r="AX58" s="3"/>
      <c r="AY58" s="3"/>
      <c r="AZ58" s="3"/>
      <c r="BA58" s="3"/>
      <c r="BB58" s="3"/>
      <c r="BC58" s="3"/>
      <c r="BD58" s="5"/>
      <c r="BE58" s="5"/>
      <c r="BF58" s="5"/>
      <c r="BG58" s="5"/>
      <c r="BH58" s="5"/>
      <c r="BI58" s="3"/>
      <c r="BJ58" s="3"/>
      <c r="BK58" s="3"/>
      <c r="BL58" s="3"/>
      <c r="BM58" s="3"/>
      <c r="BN58" s="3"/>
      <c r="BO58" s="3"/>
    </row>
    <row r="59" spans="1:67" ht="15" customHeight="1">
      <c r="A59" s="4">
        <v>10</v>
      </c>
      <c r="B59" s="3" t="s">
        <v>9</v>
      </c>
      <c r="C59" s="119" t="str">
        <f>VLOOKUP(1330,ls!$B:$E,$BA$2,TRUE)</f>
        <v>职历・兵役（按就职年月日順次填入）</v>
      </c>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3"/>
      <c r="AC59" s="3"/>
      <c r="AD59" s="3"/>
      <c r="AE59" s="3"/>
      <c r="AF59" s="3"/>
      <c r="AG59" s="3"/>
      <c r="AH59" s="3"/>
      <c r="AI59" s="3"/>
      <c r="AJ59" s="3"/>
      <c r="AK59" s="3"/>
      <c r="AL59" s="3"/>
      <c r="AM59" s="3"/>
      <c r="AN59" s="3"/>
      <c r="AO59" s="3"/>
      <c r="AP59" s="3"/>
      <c r="AQ59" s="3"/>
      <c r="AR59" s="2"/>
      <c r="AS59" s="2"/>
      <c r="AT59" s="3"/>
      <c r="AU59" s="3"/>
      <c r="AV59" s="3"/>
      <c r="AW59" s="3"/>
      <c r="AX59" s="3"/>
      <c r="AY59" s="3"/>
      <c r="AZ59" s="3"/>
      <c r="BA59" s="3"/>
      <c r="BB59" s="3"/>
      <c r="BC59" s="3"/>
      <c r="BD59" s="5"/>
      <c r="BE59" s="5"/>
      <c r="BF59" s="5"/>
      <c r="BG59" s="5"/>
      <c r="BH59" s="5"/>
      <c r="BI59" s="3"/>
      <c r="BJ59" s="3"/>
      <c r="BK59" s="3"/>
      <c r="BL59" s="3"/>
      <c r="BM59" s="3"/>
      <c r="BN59" s="3"/>
      <c r="BO59" s="3"/>
    </row>
    <row r="60" spans="1:67" ht="15" customHeight="1">
      <c r="A60" s="21"/>
      <c r="B60" s="14"/>
      <c r="C60" s="123" t="str">
        <f>VLOOKUP(1330,ls!$B:$E,$BA$3,TRUE)</f>
        <v>Employment History / Military Service（chronological order）</v>
      </c>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4"/>
      <c r="AC60" s="14"/>
      <c r="AD60" s="14"/>
      <c r="AE60" s="14"/>
      <c r="AF60" s="14"/>
      <c r="AG60" s="14"/>
      <c r="AH60" s="14"/>
      <c r="AI60" s="14"/>
      <c r="AJ60" s="14"/>
      <c r="AK60" s="14"/>
      <c r="AL60" s="14"/>
      <c r="AM60" s="14"/>
      <c r="AN60" s="14"/>
      <c r="AO60" s="14"/>
      <c r="AP60" s="14"/>
      <c r="AQ60" s="14"/>
      <c r="AR60" s="22"/>
      <c r="AS60" s="22"/>
      <c r="AT60" s="3"/>
      <c r="AU60" s="14"/>
      <c r="AV60" s="14"/>
      <c r="AW60" s="14"/>
      <c r="AX60" s="14"/>
      <c r="AY60" s="14"/>
      <c r="AZ60" s="14"/>
      <c r="BA60" s="14"/>
      <c r="BB60" s="14"/>
      <c r="BC60" s="14"/>
      <c r="BD60" s="5"/>
      <c r="BE60" s="5"/>
      <c r="BF60" s="5"/>
      <c r="BG60" s="5"/>
      <c r="BH60" s="5"/>
      <c r="BI60" s="14"/>
      <c r="BJ60" s="14"/>
      <c r="BK60" s="14"/>
      <c r="BL60" s="14"/>
      <c r="BM60" s="14"/>
      <c r="BN60" s="14"/>
      <c r="BO60" s="14"/>
    </row>
    <row r="61" spans="1:67" ht="15" customHeight="1">
      <c r="A61" s="4"/>
      <c r="B61" s="3"/>
      <c r="C61" s="26"/>
      <c r="D61" s="3"/>
      <c r="E61" s="120" t="str">
        <f>VLOOKUP(1340,ls!$B:$E,$BA$2,TRUE)</f>
        <v>公司名称</v>
      </c>
      <c r="F61" s="120"/>
      <c r="G61" s="120"/>
      <c r="H61" s="120"/>
      <c r="I61" s="120"/>
      <c r="J61" s="120"/>
      <c r="K61" s="120"/>
      <c r="L61" s="120"/>
      <c r="M61" s="120"/>
      <c r="N61" s="120"/>
      <c r="O61" s="3"/>
      <c r="P61" s="120" t="str">
        <f>VLOOKUP(1280,ls!$B:$E,$BA$2,TRUE)</f>
        <v>地址</v>
      </c>
      <c r="Q61" s="120"/>
      <c r="R61" s="120"/>
      <c r="S61" s="120"/>
      <c r="T61" s="120"/>
      <c r="U61" s="120"/>
      <c r="V61" s="120"/>
      <c r="W61" s="120"/>
      <c r="X61" s="120"/>
      <c r="Y61" s="120"/>
      <c r="Z61" s="120"/>
      <c r="AA61" s="120"/>
      <c r="AB61" s="120"/>
      <c r="AC61" s="120"/>
      <c r="AD61" s="120"/>
      <c r="AE61" s="120"/>
      <c r="AF61" s="3"/>
      <c r="AG61" s="120" t="str">
        <f>VLOOKUP(1350,ls!$B:$E,$BA$2,TRUE)</f>
        <v>就职年月</v>
      </c>
      <c r="AH61" s="120"/>
      <c r="AI61" s="120"/>
      <c r="AJ61" s="120"/>
      <c r="AK61" s="141"/>
      <c r="AL61" s="2"/>
      <c r="AM61" s="120" t="str">
        <f>VLOOKUP(1360,ls!$B:$E,$BA$2,TRUE)</f>
        <v>退职年月</v>
      </c>
      <c r="AN61" s="141"/>
      <c r="AO61" s="141"/>
      <c r="AP61" s="141"/>
      <c r="AQ61" s="141"/>
      <c r="AR61" s="2"/>
      <c r="AS61" s="2"/>
      <c r="AT61" s="3"/>
      <c r="AU61" s="3"/>
      <c r="AV61" s="3"/>
      <c r="AW61" s="3"/>
      <c r="AX61" s="3"/>
      <c r="AY61" s="3"/>
      <c r="AZ61" s="3"/>
      <c r="BA61" s="3"/>
      <c r="BB61" s="3"/>
      <c r="BC61" s="3"/>
      <c r="BD61" s="5"/>
      <c r="BE61" s="5"/>
      <c r="BF61" s="5"/>
      <c r="BG61" s="5"/>
      <c r="BH61" s="5"/>
      <c r="BI61" s="3"/>
      <c r="BJ61" s="3"/>
      <c r="BK61" s="3"/>
      <c r="BL61" s="3"/>
      <c r="BM61" s="3"/>
      <c r="BN61" s="3"/>
      <c r="BO61" s="3"/>
    </row>
    <row r="62" spans="1:67" ht="15" customHeight="1">
      <c r="A62" s="21"/>
      <c r="B62" s="14"/>
      <c r="C62" s="14"/>
      <c r="D62" s="14"/>
      <c r="E62" s="124" t="str">
        <f>VLOOKUP(1340,ls!$B:$E,$BA$3,TRUE)</f>
        <v>Name of Employer</v>
      </c>
      <c r="F62" s="124"/>
      <c r="G62" s="124"/>
      <c r="H62" s="124"/>
      <c r="I62" s="124"/>
      <c r="J62" s="124"/>
      <c r="K62" s="124"/>
      <c r="L62" s="124"/>
      <c r="M62" s="124"/>
      <c r="N62" s="124"/>
      <c r="O62" s="14"/>
      <c r="P62" s="124" t="str">
        <f>VLOOKUP(1280,ls!$B:$E,$BA$3,TRUE)</f>
        <v>Location</v>
      </c>
      <c r="Q62" s="124"/>
      <c r="R62" s="124"/>
      <c r="S62" s="124"/>
      <c r="T62" s="124"/>
      <c r="U62" s="124"/>
      <c r="V62" s="124"/>
      <c r="W62" s="124"/>
      <c r="X62" s="124"/>
      <c r="Y62" s="124"/>
      <c r="Z62" s="124"/>
      <c r="AA62" s="124"/>
      <c r="AB62" s="124"/>
      <c r="AC62" s="124"/>
      <c r="AD62" s="124"/>
      <c r="AE62" s="124"/>
      <c r="AF62" s="14"/>
      <c r="AG62" s="124" t="str">
        <f>VLOOKUP(1350,ls!$B:$E,$BA$3,TRUE)</f>
        <v>Employment( Y / M )</v>
      </c>
      <c r="AH62" s="124"/>
      <c r="AI62" s="124"/>
      <c r="AJ62" s="124"/>
      <c r="AK62" s="124"/>
      <c r="AL62" s="22"/>
      <c r="AM62" s="124" t="str">
        <f>VLOOKUP(1360,ls!$B:$E,$BA$3,TRUE)</f>
        <v>Retirement( Y / M )</v>
      </c>
      <c r="AN62" s="124"/>
      <c r="AO62" s="124"/>
      <c r="AP62" s="124"/>
      <c r="AQ62" s="124"/>
      <c r="AR62" s="22"/>
      <c r="AS62" s="22"/>
      <c r="AT62" s="3"/>
      <c r="AU62" s="14"/>
      <c r="AV62" s="14"/>
      <c r="AW62" s="14"/>
      <c r="AX62" s="14"/>
      <c r="AY62" s="14"/>
      <c r="AZ62" s="14"/>
      <c r="BA62" s="14"/>
      <c r="BB62" s="14"/>
      <c r="BC62" s="14"/>
      <c r="BD62" s="5"/>
      <c r="BE62" s="5"/>
      <c r="BF62" s="5"/>
      <c r="BG62" s="5"/>
      <c r="BH62" s="5"/>
      <c r="BI62" s="14"/>
      <c r="BJ62" s="14"/>
      <c r="BK62" s="14"/>
      <c r="BL62" s="14"/>
      <c r="BM62" s="14"/>
      <c r="BN62" s="14"/>
      <c r="BO62" s="14"/>
    </row>
    <row r="63" spans="1:67" ht="15" customHeight="1">
      <c r="A63" s="4"/>
      <c r="B63" s="3"/>
      <c r="C63" s="131" t="s">
        <v>13</v>
      </c>
      <c r="D63" s="120"/>
      <c r="E63" s="358"/>
      <c r="F63" s="358"/>
      <c r="G63" s="358"/>
      <c r="H63" s="358"/>
      <c r="I63" s="358"/>
      <c r="J63" s="358"/>
      <c r="K63" s="358"/>
      <c r="L63" s="358"/>
      <c r="M63" s="358"/>
      <c r="N63" s="358"/>
      <c r="O63" s="3"/>
      <c r="P63" s="358"/>
      <c r="Q63" s="358"/>
      <c r="R63" s="358"/>
      <c r="S63" s="358"/>
      <c r="T63" s="358"/>
      <c r="U63" s="358"/>
      <c r="V63" s="358"/>
      <c r="W63" s="358"/>
      <c r="X63" s="358"/>
      <c r="Y63" s="358"/>
      <c r="Z63" s="358"/>
      <c r="AA63" s="358"/>
      <c r="AB63" s="358"/>
      <c r="AC63" s="358"/>
      <c r="AD63" s="358"/>
      <c r="AE63" s="358"/>
      <c r="AF63" s="3"/>
      <c r="AG63" s="351"/>
      <c r="AH63" s="351"/>
      <c r="AI63" s="18" t="s">
        <v>24</v>
      </c>
      <c r="AJ63" s="351"/>
      <c r="AK63" s="351"/>
      <c r="AL63" s="3"/>
      <c r="AM63" s="351"/>
      <c r="AN63" s="351"/>
      <c r="AO63" s="18" t="s">
        <v>24</v>
      </c>
      <c r="AP63" s="351"/>
      <c r="AQ63" s="351"/>
      <c r="AR63" s="2"/>
      <c r="AS63" s="2"/>
      <c r="AT63" s="3"/>
      <c r="AU63" s="3"/>
      <c r="AV63" s="3"/>
      <c r="AW63" s="3"/>
      <c r="AX63" s="3"/>
      <c r="AY63" s="3"/>
      <c r="AZ63" s="3"/>
      <c r="BA63" s="3"/>
      <c r="BB63" s="3"/>
      <c r="BC63" s="3"/>
      <c r="BD63" s="5"/>
      <c r="BE63" s="5"/>
      <c r="BF63" s="5"/>
      <c r="BG63" s="5"/>
      <c r="BH63" s="5"/>
      <c r="BI63" s="3"/>
      <c r="BJ63" s="3"/>
      <c r="BK63" s="3"/>
      <c r="BL63" s="3"/>
      <c r="BM63" s="3"/>
      <c r="BN63" s="3"/>
      <c r="BO63" s="3"/>
    </row>
    <row r="64" spans="1:67" ht="15" customHeight="1">
      <c r="A64" s="4"/>
      <c r="B64" s="3"/>
      <c r="C64" s="131" t="s">
        <v>17</v>
      </c>
      <c r="D64" s="120"/>
      <c r="E64" s="358"/>
      <c r="F64" s="358"/>
      <c r="G64" s="358"/>
      <c r="H64" s="358"/>
      <c r="I64" s="358"/>
      <c r="J64" s="358"/>
      <c r="K64" s="358"/>
      <c r="L64" s="358"/>
      <c r="M64" s="358"/>
      <c r="N64" s="358"/>
      <c r="O64" s="3"/>
      <c r="P64" s="358"/>
      <c r="Q64" s="358"/>
      <c r="R64" s="358"/>
      <c r="S64" s="358"/>
      <c r="T64" s="358"/>
      <c r="U64" s="358"/>
      <c r="V64" s="358"/>
      <c r="W64" s="358"/>
      <c r="X64" s="358"/>
      <c r="Y64" s="358"/>
      <c r="Z64" s="358"/>
      <c r="AA64" s="358"/>
      <c r="AB64" s="358"/>
      <c r="AC64" s="358"/>
      <c r="AD64" s="358"/>
      <c r="AE64" s="358"/>
      <c r="AF64" s="3"/>
      <c r="AG64" s="351"/>
      <c r="AH64" s="351"/>
      <c r="AI64" s="18" t="s">
        <v>24</v>
      </c>
      <c r="AJ64" s="351"/>
      <c r="AK64" s="351"/>
      <c r="AL64" s="3"/>
      <c r="AM64" s="351"/>
      <c r="AN64" s="351"/>
      <c r="AO64" s="18" t="s">
        <v>24</v>
      </c>
      <c r="AP64" s="351"/>
      <c r="AQ64" s="351"/>
      <c r="AR64" s="2"/>
      <c r="AS64" s="2"/>
      <c r="AT64" s="3"/>
      <c r="AU64" s="3"/>
      <c r="AV64" s="3"/>
      <c r="AW64" s="3"/>
      <c r="AX64" s="3"/>
      <c r="AY64" s="3"/>
      <c r="AZ64" s="3"/>
      <c r="BA64" s="3"/>
      <c r="BB64" s="3"/>
      <c r="BC64" s="3"/>
      <c r="BD64" s="5"/>
      <c r="BE64" s="5"/>
      <c r="BF64" s="5"/>
      <c r="BG64" s="5"/>
      <c r="BH64" s="5"/>
      <c r="BI64" s="3"/>
      <c r="BJ64" s="3"/>
      <c r="BK64" s="3"/>
      <c r="BL64" s="3"/>
      <c r="BM64" s="3"/>
      <c r="BN64" s="3"/>
      <c r="BO64" s="3"/>
    </row>
    <row r="65" spans="1:67" ht="15" customHeight="1">
      <c r="A65" s="4"/>
      <c r="B65" s="3"/>
      <c r="C65" s="131" t="s">
        <v>20</v>
      </c>
      <c r="D65" s="120"/>
      <c r="E65" s="358"/>
      <c r="F65" s="358"/>
      <c r="G65" s="358"/>
      <c r="H65" s="358"/>
      <c r="I65" s="358"/>
      <c r="J65" s="358"/>
      <c r="K65" s="358"/>
      <c r="L65" s="358"/>
      <c r="M65" s="358"/>
      <c r="N65" s="358"/>
      <c r="O65" s="3"/>
      <c r="P65" s="358"/>
      <c r="Q65" s="358"/>
      <c r="R65" s="358"/>
      <c r="S65" s="358"/>
      <c r="T65" s="358"/>
      <c r="U65" s="358"/>
      <c r="V65" s="358"/>
      <c r="W65" s="358"/>
      <c r="X65" s="358"/>
      <c r="Y65" s="358"/>
      <c r="Z65" s="358"/>
      <c r="AA65" s="358"/>
      <c r="AB65" s="358"/>
      <c r="AC65" s="358"/>
      <c r="AD65" s="358"/>
      <c r="AE65" s="358"/>
      <c r="AF65" s="3"/>
      <c r="AG65" s="351"/>
      <c r="AH65" s="351"/>
      <c r="AI65" s="18" t="s">
        <v>24</v>
      </c>
      <c r="AJ65" s="351"/>
      <c r="AK65" s="351"/>
      <c r="AL65" s="3"/>
      <c r="AM65" s="351"/>
      <c r="AN65" s="351"/>
      <c r="AO65" s="18" t="s">
        <v>24</v>
      </c>
      <c r="AP65" s="351"/>
      <c r="AQ65" s="351"/>
      <c r="AR65" s="2"/>
      <c r="AS65" s="2"/>
      <c r="AT65" s="3"/>
      <c r="AU65" s="3"/>
      <c r="AV65" s="3"/>
      <c r="AW65" s="3"/>
      <c r="AX65" s="3"/>
      <c r="AY65" s="3"/>
      <c r="AZ65" s="3"/>
      <c r="BA65" s="3"/>
      <c r="BB65" s="3"/>
      <c r="BC65" s="3"/>
      <c r="BD65" s="5"/>
      <c r="BE65" s="5"/>
      <c r="BF65" s="5"/>
      <c r="BG65" s="5"/>
      <c r="BH65" s="5"/>
      <c r="BI65" s="3"/>
      <c r="BJ65" s="3"/>
      <c r="BK65" s="3"/>
      <c r="BL65" s="3"/>
      <c r="BM65" s="3"/>
      <c r="BN65" s="3"/>
      <c r="BO65" s="3"/>
    </row>
    <row r="66" spans="1:67" ht="15" customHeight="1">
      <c r="A66" s="4"/>
      <c r="B66" s="3"/>
      <c r="C66" s="131" t="s">
        <v>32</v>
      </c>
      <c r="D66" s="120"/>
      <c r="E66" s="358"/>
      <c r="F66" s="358"/>
      <c r="G66" s="358"/>
      <c r="H66" s="358"/>
      <c r="I66" s="358"/>
      <c r="J66" s="358"/>
      <c r="K66" s="358"/>
      <c r="L66" s="358"/>
      <c r="M66" s="358"/>
      <c r="N66" s="358"/>
      <c r="O66" s="3"/>
      <c r="P66" s="358"/>
      <c r="Q66" s="358"/>
      <c r="R66" s="358"/>
      <c r="S66" s="358"/>
      <c r="T66" s="358"/>
      <c r="U66" s="358"/>
      <c r="V66" s="358"/>
      <c r="W66" s="358"/>
      <c r="X66" s="358"/>
      <c r="Y66" s="358"/>
      <c r="Z66" s="358"/>
      <c r="AA66" s="358"/>
      <c r="AB66" s="358"/>
      <c r="AC66" s="358"/>
      <c r="AD66" s="358"/>
      <c r="AE66" s="358"/>
      <c r="AF66" s="3"/>
      <c r="AG66" s="351"/>
      <c r="AH66" s="351"/>
      <c r="AI66" s="18" t="s">
        <v>24</v>
      </c>
      <c r="AJ66" s="351"/>
      <c r="AK66" s="351"/>
      <c r="AL66" s="3"/>
      <c r="AM66" s="351"/>
      <c r="AN66" s="351"/>
      <c r="AO66" s="18" t="s">
        <v>24</v>
      </c>
      <c r="AP66" s="351"/>
      <c r="AQ66" s="351"/>
      <c r="AR66" s="2"/>
      <c r="AS66" s="2"/>
      <c r="AT66" s="3"/>
      <c r="AU66" s="3"/>
      <c r="AV66" s="3"/>
      <c r="AW66" s="3"/>
      <c r="AX66" s="3"/>
      <c r="AY66" s="3"/>
      <c r="AZ66" s="3"/>
      <c r="BA66" s="3"/>
      <c r="BB66" s="3"/>
      <c r="BC66" s="3"/>
      <c r="BD66" s="5"/>
      <c r="BE66" s="5"/>
      <c r="BF66" s="5"/>
      <c r="BG66" s="5"/>
      <c r="BH66" s="5"/>
      <c r="BI66" s="3"/>
      <c r="BJ66" s="3"/>
      <c r="BK66" s="3"/>
      <c r="BL66" s="3"/>
      <c r="BM66" s="3"/>
      <c r="BN66" s="3"/>
      <c r="BO66" s="3"/>
    </row>
    <row r="67" spans="1:67" ht="15" customHeight="1">
      <c r="A67" s="4"/>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2"/>
      <c r="AS67" s="2"/>
      <c r="AT67" s="3"/>
      <c r="AU67" s="3"/>
      <c r="AV67" s="3"/>
      <c r="AW67" s="3"/>
      <c r="AX67" s="3"/>
      <c r="AY67" s="3"/>
      <c r="AZ67" s="3"/>
      <c r="BA67" s="3"/>
      <c r="BB67" s="3"/>
      <c r="BC67" s="3"/>
      <c r="BD67" s="5"/>
      <c r="BE67" s="5"/>
      <c r="BF67" s="5"/>
      <c r="BG67" s="5"/>
      <c r="BH67" s="5"/>
      <c r="BI67" s="3"/>
      <c r="BJ67" s="3"/>
      <c r="BK67" s="3"/>
      <c r="BL67" s="3"/>
      <c r="BM67" s="3"/>
      <c r="BN67" s="3"/>
      <c r="BO67" s="3"/>
    </row>
    <row r="68" spans="1:67" ht="15" customHeight="1">
      <c r="A68" s="4">
        <v>11</v>
      </c>
      <c r="B68" s="3" t="s">
        <v>9</v>
      </c>
      <c r="C68" s="119" t="str">
        <f>VLOOKUP(1370,ls!$B:$E,$BA$2,TRUE)</f>
        <v>日本出入国历</v>
      </c>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3"/>
      <c r="AC68" s="3"/>
      <c r="AD68" s="3"/>
      <c r="AE68" s="3"/>
      <c r="AF68" s="3"/>
      <c r="AG68" s="3"/>
      <c r="AH68" s="3"/>
      <c r="AI68" s="3"/>
      <c r="AJ68" s="3"/>
      <c r="AK68" s="3"/>
      <c r="AL68" s="3"/>
      <c r="AM68" s="3"/>
      <c r="AN68" s="3"/>
      <c r="AO68" s="3"/>
      <c r="AP68" s="3"/>
      <c r="AQ68" s="3"/>
      <c r="AR68" s="2"/>
      <c r="AS68" s="2"/>
      <c r="AT68" s="3"/>
      <c r="AU68" s="3"/>
      <c r="AV68" s="3"/>
      <c r="AW68" s="3"/>
      <c r="AX68" s="3"/>
      <c r="AY68" s="3"/>
      <c r="AZ68" s="3"/>
      <c r="BA68" s="3"/>
      <c r="BB68" s="3"/>
      <c r="BC68" s="3"/>
      <c r="BD68" s="5"/>
      <c r="BE68" s="5"/>
      <c r="BF68" s="5"/>
      <c r="BG68" s="5"/>
      <c r="BH68" s="5"/>
      <c r="BI68" s="3"/>
      <c r="BJ68" s="3"/>
      <c r="BK68" s="3"/>
      <c r="BL68" s="3"/>
      <c r="BM68" s="3"/>
      <c r="BN68" s="3"/>
      <c r="BO68" s="3"/>
    </row>
    <row r="69" spans="1:67" ht="15" customHeight="1">
      <c r="A69" s="21"/>
      <c r="B69" s="14"/>
      <c r="C69" s="123" t="str">
        <f>VLOOKUP(1370,ls!$B:$E,$BA$3,TRUE)</f>
        <v>Previous Visits to Japan</v>
      </c>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4"/>
      <c r="AC69" s="14"/>
      <c r="AD69" s="14"/>
      <c r="AE69" s="14"/>
      <c r="AF69" s="14"/>
      <c r="AG69" s="14"/>
      <c r="AH69" s="14"/>
      <c r="AI69" s="14"/>
      <c r="AJ69" s="14"/>
      <c r="AK69" s="14"/>
      <c r="AL69" s="14"/>
      <c r="AM69" s="14"/>
      <c r="AN69" s="14"/>
      <c r="AO69" s="14"/>
      <c r="AP69" s="14"/>
      <c r="AQ69" s="14"/>
      <c r="AR69" s="22"/>
      <c r="AS69" s="22"/>
      <c r="AT69" s="3"/>
      <c r="AU69" s="14"/>
      <c r="AV69" s="14"/>
      <c r="AW69" s="14"/>
      <c r="AX69" s="14"/>
      <c r="AY69" s="14"/>
      <c r="AZ69" s="14"/>
      <c r="BA69" s="14"/>
      <c r="BB69" s="14"/>
      <c r="BC69" s="14"/>
      <c r="BD69" s="5"/>
      <c r="BE69" s="5"/>
      <c r="BF69" s="5"/>
      <c r="BG69" s="5"/>
      <c r="BH69" s="5"/>
      <c r="BI69" s="14"/>
      <c r="BJ69" s="14"/>
      <c r="BK69" s="14"/>
      <c r="BL69" s="14"/>
      <c r="BM69" s="14"/>
      <c r="BN69" s="14"/>
      <c r="BO69" s="14"/>
    </row>
    <row r="70" spans="1:67" ht="15" customHeight="1">
      <c r="A70" s="4"/>
      <c r="B70" s="3"/>
      <c r="C70" s="3"/>
      <c r="D70" s="3"/>
      <c r="E70" s="120" t="str">
        <f>VLOOKUP(1380,ls!$B:$E,$BA$2,TRUE)</f>
        <v>入国年月日</v>
      </c>
      <c r="F70" s="120"/>
      <c r="G70" s="120"/>
      <c r="H70" s="120"/>
      <c r="I70" s="120"/>
      <c r="J70" s="120"/>
      <c r="K70" s="120"/>
      <c r="L70" s="120"/>
      <c r="M70" s="3"/>
      <c r="N70" s="120" t="str">
        <f>VLOOKUP(1390,ls!$B:$E,$BA$2,TRUE)</f>
        <v>出国年月日</v>
      </c>
      <c r="O70" s="120"/>
      <c r="P70" s="120"/>
      <c r="Q70" s="120"/>
      <c r="R70" s="120"/>
      <c r="S70" s="120"/>
      <c r="T70" s="120"/>
      <c r="U70" s="120"/>
      <c r="V70" s="3"/>
      <c r="W70" s="120" t="str">
        <f>VLOOKUP(1400,ls!$B:$E,$BA$2,TRUE)</f>
        <v>在留资格</v>
      </c>
      <c r="X70" s="120"/>
      <c r="Y70" s="120"/>
      <c r="Z70" s="120"/>
      <c r="AA70" s="120"/>
      <c r="AB70" s="120"/>
      <c r="AC70" s="120"/>
      <c r="AD70" s="120"/>
      <c r="AE70" s="3"/>
      <c r="AF70" s="120" t="str">
        <f>VLOOKUP(1410,ls!$B:$E,$BA$2,TRUE)</f>
        <v>入国目的</v>
      </c>
      <c r="AG70" s="120"/>
      <c r="AH70" s="120"/>
      <c r="AI70" s="120"/>
      <c r="AJ70" s="120"/>
      <c r="AK70" s="120"/>
      <c r="AL70" s="120"/>
      <c r="AM70" s="120"/>
      <c r="AN70" s="120"/>
      <c r="AO70" s="120"/>
      <c r="AP70" s="120"/>
      <c r="AQ70" s="120"/>
      <c r="AR70" s="2"/>
      <c r="AS70" s="2"/>
      <c r="AT70" s="3"/>
      <c r="AU70" s="3"/>
      <c r="AV70" s="3"/>
      <c r="AW70" s="3"/>
      <c r="AX70" s="3"/>
      <c r="AY70" s="3"/>
      <c r="AZ70" s="3"/>
      <c r="BA70" s="3"/>
      <c r="BB70" s="3"/>
      <c r="BC70" s="3"/>
      <c r="BD70" s="5"/>
      <c r="BE70" s="5"/>
      <c r="BF70" s="5"/>
      <c r="BG70" s="5"/>
      <c r="BH70" s="5"/>
      <c r="BI70" s="3"/>
      <c r="BJ70" s="3"/>
      <c r="BK70" s="3"/>
      <c r="BL70" s="3"/>
      <c r="BM70" s="3"/>
      <c r="BN70" s="3"/>
      <c r="BO70" s="3"/>
    </row>
    <row r="71" spans="1:67" ht="15" customHeight="1">
      <c r="A71" s="21"/>
      <c r="B71" s="14"/>
      <c r="C71" s="14"/>
      <c r="D71" s="14"/>
      <c r="E71" s="124" t="str">
        <f>VLOOKUP(1380,ls!$B:$E,$BA$3,TRUE)</f>
        <v>Entry ( Y/M/D )</v>
      </c>
      <c r="F71" s="124"/>
      <c r="G71" s="124"/>
      <c r="H71" s="124"/>
      <c r="I71" s="124"/>
      <c r="J71" s="124"/>
      <c r="K71" s="124"/>
      <c r="L71" s="124"/>
      <c r="M71" s="14"/>
      <c r="N71" s="124" t="str">
        <f>VLOOKUP(1390,ls!$B:$E,$BA$3,TRUE)</f>
        <v>Departure ( Y/M/D )</v>
      </c>
      <c r="O71" s="124"/>
      <c r="P71" s="124"/>
      <c r="Q71" s="124"/>
      <c r="R71" s="124"/>
      <c r="S71" s="124"/>
      <c r="T71" s="124"/>
      <c r="U71" s="124"/>
      <c r="V71" s="14"/>
      <c r="W71" s="124" t="str">
        <f>VLOOKUP(1400,ls!$B:$E,$BA$3,TRUE)</f>
        <v>Visa Status</v>
      </c>
      <c r="X71" s="124"/>
      <c r="Y71" s="124"/>
      <c r="Z71" s="124"/>
      <c r="AA71" s="124"/>
      <c r="AB71" s="124"/>
      <c r="AC71" s="124"/>
      <c r="AD71" s="124"/>
      <c r="AE71" s="14"/>
      <c r="AF71" s="124" t="str">
        <f>VLOOKUP(1410,ls!$B:$E,$BA$3,TRUE)</f>
        <v>Purpose</v>
      </c>
      <c r="AG71" s="124"/>
      <c r="AH71" s="124"/>
      <c r="AI71" s="124"/>
      <c r="AJ71" s="124"/>
      <c r="AK71" s="124"/>
      <c r="AL71" s="124"/>
      <c r="AM71" s="124"/>
      <c r="AN71" s="124"/>
      <c r="AO71" s="124"/>
      <c r="AP71" s="124"/>
      <c r="AQ71" s="124"/>
      <c r="AR71" s="22"/>
      <c r="AS71" s="22"/>
      <c r="AT71" s="3"/>
      <c r="AU71" s="14"/>
      <c r="AV71" s="14"/>
      <c r="AW71" s="14"/>
      <c r="AX71" s="14"/>
      <c r="AY71" s="14"/>
      <c r="AZ71" s="14"/>
      <c r="BA71" s="14"/>
      <c r="BB71" s="14"/>
      <c r="BC71" s="14"/>
      <c r="BD71" s="5"/>
      <c r="BE71" s="5"/>
      <c r="BF71" s="5"/>
      <c r="BG71" s="5"/>
      <c r="BH71" s="5"/>
      <c r="BI71" s="14"/>
      <c r="BJ71" s="14"/>
      <c r="BK71" s="14"/>
      <c r="BL71" s="14"/>
      <c r="BM71" s="14"/>
      <c r="BN71" s="14"/>
      <c r="BO71" s="14"/>
    </row>
    <row r="72" spans="1:67" ht="15" customHeight="1">
      <c r="A72" s="4"/>
      <c r="B72" s="3"/>
      <c r="C72" s="131" t="s">
        <v>13</v>
      </c>
      <c r="D72" s="120"/>
      <c r="E72" s="118"/>
      <c r="F72" s="118"/>
      <c r="G72" s="18" t="s">
        <v>24</v>
      </c>
      <c r="H72" s="118"/>
      <c r="I72" s="118"/>
      <c r="J72" s="18" t="s">
        <v>24</v>
      </c>
      <c r="K72" s="118"/>
      <c r="L72" s="118"/>
      <c r="M72" s="3" t="s">
        <v>25</v>
      </c>
      <c r="N72" s="118"/>
      <c r="O72" s="118"/>
      <c r="P72" s="18" t="s">
        <v>24</v>
      </c>
      <c r="Q72" s="118"/>
      <c r="R72" s="118"/>
      <c r="S72" s="18" t="s">
        <v>24</v>
      </c>
      <c r="T72" s="118"/>
      <c r="U72" s="118"/>
      <c r="V72" s="3"/>
      <c r="W72" s="118"/>
      <c r="X72" s="118"/>
      <c r="Y72" s="118"/>
      <c r="Z72" s="118"/>
      <c r="AA72" s="118"/>
      <c r="AB72" s="118"/>
      <c r="AC72" s="118"/>
      <c r="AD72" s="118"/>
      <c r="AE72" s="3"/>
      <c r="AF72" s="118"/>
      <c r="AG72" s="118"/>
      <c r="AH72" s="118"/>
      <c r="AI72" s="118"/>
      <c r="AJ72" s="118"/>
      <c r="AK72" s="118"/>
      <c r="AL72" s="118"/>
      <c r="AM72" s="118"/>
      <c r="AN72" s="118"/>
      <c r="AO72" s="118"/>
      <c r="AP72" s="118"/>
      <c r="AQ72" s="118"/>
      <c r="AR72" s="2"/>
      <c r="AS72" s="2"/>
      <c r="AT72" s="3"/>
      <c r="AU72" s="3"/>
      <c r="AV72" s="3"/>
      <c r="AW72" s="3"/>
      <c r="AX72" s="3"/>
      <c r="AY72" s="3"/>
      <c r="AZ72" s="3"/>
      <c r="BA72" s="3"/>
      <c r="BB72" s="3"/>
      <c r="BC72" s="3"/>
      <c r="BD72" s="5"/>
      <c r="BE72" s="5"/>
      <c r="BF72" s="5"/>
      <c r="BG72" s="5"/>
      <c r="BH72" s="5"/>
      <c r="BI72" s="3"/>
      <c r="BJ72" s="3"/>
      <c r="BK72" s="3"/>
      <c r="BL72" s="3"/>
      <c r="BM72" s="3"/>
      <c r="BN72" s="3"/>
      <c r="BO72" s="3"/>
    </row>
    <row r="73" spans="1:67" ht="15" customHeight="1">
      <c r="A73" s="4"/>
      <c r="B73" s="3"/>
      <c r="C73" s="131" t="s">
        <v>17</v>
      </c>
      <c r="D73" s="120"/>
      <c r="E73" s="118"/>
      <c r="F73" s="118"/>
      <c r="G73" s="18" t="s">
        <v>24</v>
      </c>
      <c r="H73" s="118"/>
      <c r="I73" s="118"/>
      <c r="J73" s="18" t="s">
        <v>24</v>
      </c>
      <c r="K73" s="118"/>
      <c r="L73" s="118"/>
      <c r="M73" s="3" t="s">
        <v>25</v>
      </c>
      <c r="N73" s="118"/>
      <c r="O73" s="118"/>
      <c r="P73" s="18" t="s">
        <v>24</v>
      </c>
      <c r="Q73" s="118"/>
      <c r="R73" s="118"/>
      <c r="S73" s="18" t="s">
        <v>24</v>
      </c>
      <c r="T73" s="118"/>
      <c r="U73" s="118"/>
      <c r="V73" s="3"/>
      <c r="W73" s="118"/>
      <c r="X73" s="118"/>
      <c r="Y73" s="118"/>
      <c r="Z73" s="118"/>
      <c r="AA73" s="118"/>
      <c r="AB73" s="118"/>
      <c r="AC73" s="118"/>
      <c r="AD73" s="118"/>
      <c r="AE73" s="3"/>
      <c r="AF73" s="118"/>
      <c r="AG73" s="118"/>
      <c r="AH73" s="118"/>
      <c r="AI73" s="118"/>
      <c r="AJ73" s="118"/>
      <c r="AK73" s="118"/>
      <c r="AL73" s="118"/>
      <c r="AM73" s="118"/>
      <c r="AN73" s="118"/>
      <c r="AO73" s="118"/>
      <c r="AP73" s="118"/>
      <c r="AQ73" s="118"/>
      <c r="AR73" s="2"/>
      <c r="AS73" s="2"/>
      <c r="AT73" s="3"/>
      <c r="AU73" s="3"/>
      <c r="AV73" s="3"/>
      <c r="AW73" s="3"/>
      <c r="AX73" s="3"/>
      <c r="AY73" s="3"/>
      <c r="AZ73" s="3"/>
      <c r="BA73" s="3"/>
      <c r="BB73" s="3"/>
      <c r="BC73" s="3"/>
      <c r="BD73" s="5"/>
      <c r="BE73" s="5"/>
      <c r="BF73" s="5"/>
      <c r="BG73" s="5"/>
      <c r="BH73" s="5"/>
      <c r="BI73" s="3"/>
      <c r="BJ73" s="3"/>
      <c r="BK73" s="3"/>
      <c r="BL73" s="3"/>
      <c r="BM73" s="3"/>
      <c r="BN73" s="3"/>
      <c r="BO73" s="3"/>
    </row>
    <row r="74" spans="1:67" ht="15" customHeight="1">
      <c r="A74" s="4"/>
      <c r="B74" s="3"/>
      <c r="C74" s="131" t="s">
        <v>20</v>
      </c>
      <c r="D74" s="120"/>
      <c r="E74" s="118"/>
      <c r="F74" s="118"/>
      <c r="G74" s="18" t="s">
        <v>24</v>
      </c>
      <c r="H74" s="118"/>
      <c r="I74" s="118"/>
      <c r="J74" s="18" t="s">
        <v>24</v>
      </c>
      <c r="K74" s="118"/>
      <c r="L74" s="118"/>
      <c r="M74" s="3" t="s">
        <v>25</v>
      </c>
      <c r="N74" s="118"/>
      <c r="O74" s="118"/>
      <c r="P74" s="18" t="s">
        <v>24</v>
      </c>
      <c r="Q74" s="118"/>
      <c r="R74" s="118"/>
      <c r="S74" s="18" t="s">
        <v>24</v>
      </c>
      <c r="T74" s="118"/>
      <c r="U74" s="118"/>
      <c r="V74" s="3"/>
      <c r="W74" s="118"/>
      <c r="X74" s="118"/>
      <c r="Y74" s="118"/>
      <c r="Z74" s="118"/>
      <c r="AA74" s="118"/>
      <c r="AB74" s="118"/>
      <c r="AC74" s="118"/>
      <c r="AD74" s="118"/>
      <c r="AE74" s="3"/>
      <c r="AF74" s="118"/>
      <c r="AG74" s="118"/>
      <c r="AH74" s="118"/>
      <c r="AI74" s="118"/>
      <c r="AJ74" s="118"/>
      <c r="AK74" s="118"/>
      <c r="AL74" s="118"/>
      <c r="AM74" s="118"/>
      <c r="AN74" s="118"/>
      <c r="AO74" s="118"/>
      <c r="AP74" s="118"/>
      <c r="AQ74" s="118"/>
      <c r="AR74" s="2"/>
      <c r="AS74" s="2"/>
      <c r="AT74" s="3"/>
      <c r="AU74" s="3"/>
      <c r="AV74" s="3"/>
      <c r="AW74" s="3"/>
      <c r="AX74" s="3"/>
      <c r="AY74" s="3"/>
      <c r="AZ74" s="3"/>
      <c r="BA74" s="3"/>
      <c r="BB74" s="3"/>
      <c r="BC74" s="3"/>
      <c r="BD74" s="5"/>
      <c r="BE74" s="5"/>
      <c r="BF74" s="5"/>
      <c r="BG74" s="5"/>
      <c r="BH74" s="5"/>
      <c r="BI74" s="3"/>
      <c r="BJ74" s="3"/>
      <c r="BK74" s="3"/>
      <c r="BL74" s="3"/>
      <c r="BM74" s="3"/>
      <c r="BN74" s="3"/>
      <c r="BO74" s="3"/>
    </row>
    <row r="75" spans="1:67" ht="15" customHeight="1">
      <c r="A75" s="4"/>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2"/>
      <c r="AS75" s="2"/>
      <c r="AT75" s="3"/>
      <c r="AU75" s="3"/>
      <c r="AV75" s="3"/>
      <c r="AW75" s="3"/>
      <c r="AX75" s="3"/>
      <c r="AY75" s="3"/>
      <c r="AZ75" s="3"/>
      <c r="BA75" s="3"/>
      <c r="BB75" s="3"/>
      <c r="BC75" s="3"/>
      <c r="BD75" s="5"/>
      <c r="BE75" s="5"/>
      <c r="BF75" s="5"/>
      <c r="BG75" s="5"/>
      <c r="BH75" s="5"/>
      <c r="BI75" s="3"/>
      <c r="BJ75" s="3"/>
      <c r="BK75" s="3"/>
      <c r="BL75" s="3"/>
      <c r="BM75" s="3"/>
      <c r="BN75" s="3"/>
      <c r="BO75" s="3"/>
    </row>
    <row r="76" spans="1:67" ht="15" customHeight="1">
      <c r="A76" s="4">
        <v>12</v>
      </c>
      <c r="B76" s="3" t="s">
        <v>9</v>
      </c>
      <c r="C76" s="119" t="str">
        <f>VLOOKUP(1420,ls!$B:$E,$BA$2,TRUE)</f>
        <v>留学理由</v>
      </c>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3"/>
      <c r="AC76" s="3"/>
      <c r="AD76" s="3"/>
      <c r="AE76" s="3"/>
      <c r="AF76" s="3"/>
      <c r="AG76" s="3"/>
      <c r="AH76" s="3"/>
      <c r="AI76" s="3"/>
      <c r="AJ76" s="3"/>
      <c r="AK76" s="3"/>
      <c r="AL76" s="3"/>
      <c r="AM76" s="3"/>
      <c r="AN76" s="3"/>
      <c r="AO76" s="3"/>
      <c r="AP76" s="3"/>
      <c r="AQ76" s="3"/>
      <c r="AR76" s="2"/>
      <c r="AS76" s="2"/>
      <c r="AT76" s="3"/>
      <c r="AU76" s="3"/>
      <c r="AV76" s="3"/>
      <c r="AW76" s="3"/>
      <c r="AX76" s="3"/>
      <c r="AY76" s="3"/>
      <c r="AZ76" s="3"/>
      <c r="BA76" s="3"/>
      <c r="BB76" s="3"/>
      <c r="BC76" s="3"/>
      <c r="BD76" s="5"/>
      <c r="BE76" s="5"/>
      <c r="BF76" s="5"/>
      <c r="BG76" s="5"/>
      <c r="BH76" s="5"/>
      <c r="BI76" s="3"/>
      <c r="BJ76" s="3"/>
      <c r="BK76" s="3"/>
      <c r="BL76" s="3"/>
      <c r="BM76" s="3"/>
      <c r="BN76" s="3"/>
      <c r="BO76" s="3"/>
    </row>
    <row r="77" spans="1:67" ht="15" customHeight="1">
      <c r="A77" s="21"/>
      <c r="B77" s="14"/>
      <c r="C77" s="123" t="str">
        <f>VLOOKUP(1420,ls!$B:$E,$BA$3,TRUE)</f>
        <v>Purpose and Reason for Study</v>
      </c>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4"/>
      <c r="AC77" s="14"/>
      <c r="AD77" s="14"/>
      <c r="AE77" s="14"/>
      <c r="AF77" s="14"/>
      <c r="AG77" s="14"/>
      <c r="AH77" s="14"/>
      <c r="AI77" s="14"/>
      <c r="AJ77" s="14"/>
      <c r="AK77" s="14"/>
      <c r="AL77" s="14"/>
      <c r="AM77" s="14"/>
      <c r="AN77" s="14"/>
      <c r="AO77" s="14"/>
      <c r="AP77" s="14"/>
      <c r="AQ77" s="14"/>
      <c r="AR77" s="22"/>
      <c r="AS77" s="22"/>
      <c r="AT77" s="3"/>
      <c r="AU77" s="14"/>
      <c r="AV77" s="14"/>
      <c r="AW77" s="14"/>
      <c r="AX77" s="14"/>
      <c r="AY77" s="14"/>
      <c r="AZ77" s="14"/>
      <c r="BA77" s="14"/>
      <c r="BB77" s="14"/>
      <c r="BC77" s="14"/>
      <c r="BD77" s="5"/>
      <c r="BE77" s="5"/>
      <c r="BF77" s="5"/>
      <c r="BG77" s="5"/>
      <c r="BH77" s="5"/>
      <c r="BI77" s="14"/>
      <c r="BJ77" s="14"/>
      <c r="BK77" s="14"/>
      <c r="BL77" s="14"/>
      <c r="BM77" s="14"/>
      <c r="BN77" s="14"/>
      <c r="BO77" s="14"/>
    </row>
    <row r="78" spans="1:67" ht="15" customHeight="1">
      <c r="A78" s="4"/>
      <c r="B78" s="3"/>
      <c r="C78" s="364"/>
      <c r="D78" s="364"/>
      <c r="E78" s="364"/>
      <c r="F78" s="364"/>
      <c r="G78" s="364"/>
      <c r="H78" s="364"/>
      <c r="I78" s="364"/>
      <c r="J78" s="364"/>
      <c r="K78" s="364"/>
      <c r="L78" s="364"/>
      <c r="M78" s="364"/>
      <c r="N78" s="364"/>
      <c r="O78" s="364"/>
      <c r="P78" s="364"/>
      <c r="Q78" s="364"/>
      <c r="R78" s="364"/>
      <c r="S78" s="364"/>
      <c r="T78" s="364"/>
      <c r="U78" s="364"/>
      <c r="V78" s="364"/>
      <c r="W78" s="364"/>
      <c r="X78" s="364"/>
      <c r="Y78" s="364"/>
      <c r="Z78" s="364"/>
      <c r="AA78" s="364"/>
      <c r="AB78" s="364"/>
      <c r="AC78" s="364"/>
      <c r="AD78" s="364"/>
      <c r="AE78" s="364"/>
      <c r="AF78" s="364"/>
      <c r="AG78" s="364"/>
      <c r="AH78" s="364"/>
      <c r="AI78" s="364"/>
      <c r="AJ78" s="364"/>
      <c r="AK78" s="364"/>
      <c r="AL78" s="364"/>
      <c r="AM78" s="364"/>
      <c r="AN78" s="364"/>
      <c r="AO78" s="364"/>
      <c r="AP78" s="364"/>
      <c r="AQ78" s="364"/>
      <c r="AR78" s="2"/>
      <c r="AS78" s="2"/>
      <c r="AT78" s="3"/>
      <c r="AU78" s="3"/>
      <c r="AV78" s="3"/>
      <c r="AW78" s="3"/>
      <c r="AX78" s="3"/>
      <c r="AY78" s="3"/>
      <c r="AZ78" s="3"/>
      <c r="BA78" s="3"/>
      <c r="BB78" s="3"/>
      <c r="BC78" s="3"/>
      <c r="BD78" s="5"/>
      <c r="BE78" s="5"/>
      <c r="BF78" s="5"/>
      <c r="BG78" s="5"/>
      <c r="BH78" s="5"/>
      <c r="BI78" s="3"/>
      <c r="BJ78" s="3"/>
      <c r="BK78" s="3"/>
      <c r="BL78" s="3"/>
      <c r="BM78" s="3"/>
      <c r="BN78" s="3"/>
      <c r="BO78" s="3"/>
    </row>
    <row r="79" spans="1:67" ht="15" customHeight="1">
      <c r="A79" s="4"/>
      <c r="B79" s="3"/>
      <c r="C79" s="364"/>
      <c r="D79" s="364"/>
      <c r="E79" s="364"/>
      <c r="F79" s="364"/>
      <c r="G79" s="364"/>
      <c r="H79" s="364"/>
      <c r="I79" s="364"/>
      <c r="J79" s="364"/>
      <c r="K79" s="364"/>
      <c r="L79" s="364"/>
      <c r="M79" s="364"/>
      <c r="N79" s="364"/>
      <c r="O79" s="364"/>
      <c r="P79" s="364"/>
      <c r="Q79" s="364"/>
      <c r="R79" s="364"/>
      <c r="S79" s="364"/>
      <c r="T79" s="364"/>
      <c r="U79" s="364"/>
      <c r="V79" s="364"/>
      <c r="W79" s="364"/>
      <c r="X79" s="364"/>
      <c r="Y79" s="364"/>
      <c r="Z79" s="364"/>
      <c r="AA79" s="364"/>
      <c r="AB79" s="364"/>
      <c r="AC79" s="364"/>
      <c r="AD79" s="364"/>
      <c r="AE79" s="364"/>
      <c r="AF79" s="364"/>
      <c r="AG79" s="364"/>
      <c r="AH79" s="364"/>
      <c r="AI79" s="364"/>
      <c r="AJ79" s="364"/>
      <c r="AK79" s="364"/>
      <c r="AL79" s="364"/>
      <c r="AM79" s="364"/>
      <c r="AN79" s="364"/>
      <c r="AO79" s="364"/>
      <c r="AP79" s="364"/>
      <c r="AQ79" s="364"/>
      <c r="AR79" s="2"/>
      <c r="AS79" s="2"/>
      <c r="AT79" s="3"/>
      <c r="AU79" s="3"/>
      <c r="AV79" s="3"/>
      <c r="AW79" s="3"/>
      <c r="AX79" s="3"/>
      <c r="AY79" s="3"/>
      <c r="AZ79" s="3"/>
      <c r="BA79" s="3"/>
      <c r="BB79" s="3"/>
      <c r="BC79" s="3"/>
      <c r="BD79" s="5"/>
      <c r="BE79" s="5"/>
      <c r="BF79" s="5"/>
      <c r="BG79" s="5"/>
      <c r="BH79" s="5"/>
      <c r="BI79" s="3"/>
      <c r="BJ79" s="3"/>
      <c r="BK79" s="3"/>
      <c r="BL79" s="3"/>
      <c r="BM79" s="3"/>
      <c r="BN79" s="3"/>
      <c r="BO79" s="3"/>
    </row>
    <row r="80" spans="1:67" ht="15" customHeight="1">
      <c r="A80" s="4"/>
      <c r="B80" s="3"/>
      <c r="C80" s="364"/>
      <c r="D80" s="364"/>
      <c r="E80" s="364"/>
      <c r="F80" s="364"/>
      <c r="G80" s="364"/>
      <c r="H80" s="364"/>
      <c r="I80" s="364"/>
      <c r="J80" s="364"/>
      <c r="K80" s="364"/>
      <c r="L80" s="364"/>
      <c r="M80" s="364"/>
      <c r="N80" s="364"/>
      <c r="O80" s="364"/>
      <c r="P80" s="364"/>
      <c r="Q80" s="364"/>
      <c r="R80" s="364"/>
      <c r="S80" s="364"/>
      <c r="T80" s="364"/>
      <c r="U80" s="364"/>
      <c r="V80" s="364"/>
      <c r="W80" s="364"/>
      <c r="X80" s="364"/>
      <c r="Y80" s="364"/>
      <c r="Z80" s="364"/>
      <c r="AA80" s="364"/>
      <c r="AB80" s="364"/>
      <c r="AC80" s="364"/>
      <c r="AD80" s="364"/>
      <c r="AE80" s="364"/>
      <c r="AF80" s="364"/>
      <c r="AG80" s="364"/>
      <c r="AH80" s="364"/>
      <c r="AI80" s="364"/>
      <c r="AJ80" s="364"/>
      <c r="AK80" s="364"/>
      <c r="AL80" s="364"/>
      <c r="AM80" s="364"/>
      <c r="AN80" s="364"/>
      <c r="AO80" s="364"/>
      <c r="AP80" s="364"/>
      <c r="AQ80" s="364"/>
      <c r="AR80" s="2"/>
      <c r="AS80" s="2"/>
      <c r="AT80" s="3"/>
      <c r="AU80" s="3"/>
      <c r="AV80" s="3"/>
      <c r="AW80" s="3"/>
      <c r="AX80" s="3"/>
      <c r="AY80" s="3"/>
      <c r="AZ80" s="3"/>
      <c r="BA80" s="3"/>
      <c r="BB80" s="3"/>
      <c r="BC80" s="3"/>
      <c r="BD80" s="5"/>
      <c r="BE80" s="5"/>
      <c r="BF80" s="5"/>
      <c r="BG80" s="5"/>
      <c r="BH80" s="5"/>
      <c r="BI80" s="3"/>
      <c r="BJ80" s="3"/>
      <c r="BK80" s="3"/>
      <c r="BL80" s="3"/>
      <c r="BM80" s="3"/>
      <c r="BN80" s="3"/>
      <c r="BO80" s="3"/>
    </row>
    <row r="81" spans="1:67" ht="15" customHeight="1">
      <c r="A81" s="4"/>
      <c r="B81" s="3"/>
      <c r="C81" s="364"/>
      <c r="D81" s="364"/>
      <c r="E81" s="364"/>
      <c r="F81" s="364"/>
      <c r="G81" s="364"/>
      <c r="H81" s="364"/>
      <c r="I81" s="364"/>
      <c r="J81" s="364"/>
      <c r="K81" s="364"/>
      <c r="L81" s="364"/>
      <c r="M81" s="364"/>
      <c r="N81" s="364"/>
      <c r="O81" s="364"/>
      <c r="P81" s="364"/>
      <c r="Q81" s="364"/>
      <c r="R81" s="364"/>
      <c r="S81" s="364"/>
      <c r="T81" s="364"/>
      <c r="U81" s="364"/>
      <c r="V81" s="364"/>
      <c r="W81" s="364"/>
      <c r="X81" s="364"/>
      <c r="Y81" s="364"/>
      <c r="Z81" s="364"/>
      <c r="AA81" s="364"/>
      <c r="AB81" s="364"/>
      <c r="AC81" s="364"/>
      <c r="AD81" s="364"/>
      <c r="AE81" s="364"/>
      <c r="AF81" s="364"/>
      <c r="AG81" s="364"/>
      <c r="AH81" s="364"/>
      <c r="AI81" s="364"/>
      <c r="AJ81" s="364"/>
      <c r="AK81" s="364"/>
      <c r="AL81" s="364"/>
      <c r="AM81" s="364"/>
      <c r="AN81" s="364"/>
      <c r="AO81" s="364"/>
      <c r="AP81" s="364"/>
      <c r="AQ81" s="364"/>
      <c r="AR81" s="2"/>
      <c r="AS81" s="2"/>
      <c r="AT81" s="3"/>
      <c r="AU81" s="3"/>
      <c r="AV81" s="3"/>
      <c r="AW81" s="3"/>
      <c r="AX81" s="3"/>
      <c r="AY81" s="3"/>
      <c r="AZ81" s="3"/>
      <c r="BA81" s="3"/>
      <c r="BB81" s="3"/>
      <c r="BC81" s="3"/>
      <c r="BD81" s="5"/>
      <c r="BE81" s="5"/>
      <c r="BF81" s="5"/>
      <c r="BG81" s="5"/>
      <c r="BH81" s="5"/>
      <c r="BI81" s="3"/>
      <c r="BJ81" s="3"/>
      <c r="BK81" s="3"/>
      <c r="BL81" s="3"/>
      <c r="BM81" s="3"/>
      <c r="BN81" s="3"/>
      <c r="BO81" s="3"/>
    </row>
    <row r="82" spans="1:67" ht="15" customHeight="1">
      <c r="A82" s="4"/>
      <c r="B82" s="3"/>
      <c r="C82" s="364"/>
      <c r="D82" s="364"/>
      <c r="E82" s="364"/>
      <c r="F82" s="364"/>
      <c r="G82" s="364"/>
      <c r="H82" s="364"/>
      <c r="I82" s="364"/>
      <c r="J82" s="364"/>
      <c r="K82" s="364"/>
      <c r="L82" s="364"/>
      <c r="M82" s="364"/>
      <c r="N82" s="364"/>
      <c r="O82" s="364"/>
      <c r="P82" s="364"/>
      <c r="Q82" s="364"/>
      <c r="R82" s="364"/>
      <c r="S82" s="364"/>
      <c r="T82" s="364"/>
      <c r="U82" s="364"/>
      <c r="V82" s="364"/>
      <c r="W82" s="364"/>
      <c r="X82" s="364"/>
      <c r="Y82" s="364"/>
      <c r="Z82" s="364"/>
      <c r="AA82" s="364"/>
      <c r="AB82" s="364"/>
      <c r="AC82" s="364"/>
      <c r="AD82" s="364"/>
      <c r="AE82" s="364"/>
      <c r="AF82" s="364"/>
      <c r="AG82" s="364"/>
      <c r="AH82" s="364"/>
      <c r="AI82" s="364"/>
      <c r="AJ82" s="364"/>
      <c r="AK82" s="364"/>
      <c r="AL82" s="364"/>
      <c r="AM82" s="364"/>
      <c r="AN82" s="364"/>
      <c r="AO82" s="364"/>
      <c r="AP82" s="364"/>
      <c r="AQ82" s="364"/>
      <c r="AR82" s="2"/>
      <c r="AS82" s="2"/>
      <c r="AT82" s="3"/>
      <c r="AU82" s="3"/>
      <c r="AV82" s="3"/>
      <c r="AW82" s="3"/>
      <c r="AX82" s="3"/>
      <c r="AY82" s="3"/>
      <c r="AZ82" s="3"/>
      <c r="BA82" s="3"/>
      <c r="BB82" s="3"/>
      <c r="BC82" s="3"/>
      <c r="BD82" s="5"/>
      <c r="BE82" s="5"/>
      <c r="BF82" s="5"/>
      <c r="BG82" s="5"/>
      <c r="BH82" s="5"/>
      <c r="BI82" s="3"/>
      <c r="BJ82" s="3"/>
      <c r="BK82" s="3"/>
      <c r="BL82" s="3"/>
      <c r="BM82" s="3"/>
      <c r="BN82" s="3"/>
      <c r="BO82" s="3"/>
    </row>
    <row r="83" spans="1:67" ht="15" customHeight="1">
      <c r="A83" s="4"/>
      <c r="B83" s="3"/>
      <c r="C83" s="364"/>
      <c r="D83" s="364"/>
      <c r="E83" s="364"/>
      <c r="F83" s="364"/>
      <c r="G83" s="364"/>
      <c r="H83" s="364"/>
      <c r="I83" s="364"/>
      <c r="J83" s="364"/>
      <c r="K83" s="364"/>
      <c r="L83" s="364"/>
      <c r="M83" s="364"/>
      <c r="N83" s="364"/>
      <c r="O83" s="364"/>
      <c r="P83" s="364"/>
      <c r="Q83" s="364"/>
      <c r="R83" s="364"/>
      <c r="S83" s="364"/>
      <c r="T83" s="364"/>
      <c r="U83" s="364"/>
      <c r="V83" s="364"/>
      <c r="W83" s="364"/>
      <c r="X83" s="364"/>
      <c r="Y83" s="364"/>
      <c r="Z83" s="364"/>
      <c r="AA83" s="364"/>
      <c r="AB83" s="364"/>
      <c r="AC83" s="364"/>
      <c r="AD83" s="364"/>
      <c r="AE83" s="364"/>
      <c r="AF83" s="364"/>
      <c r="AG83" s="364"/>
      <c r="AH83" s="364"/>
      <c r="AI83" s="364"/>
      <c r="AJ83" s="364"/>
      <c r="AK83" s="364"/>
      <c r="AL83" s="364"/>
      <c r="AM83" s="364"/>
      <c r="AN83" s="364"/>
      <c r="AO83" s="364"/>
      <c r="AP83" s="364"/>
      <c r="AQ83" s="364"/>
      <c r="AR83" s="2"/>
      <c r="AS83" s="2"/>
      <c r="AT83" s="3"/>
      <c r="AU83" s="3"/>
      <c r="AV83" s="3"/>
      <c r="AW83" s="3"/>
      <c r="AX83" s="3"/>
      <c r="AY83" s="3"/>
      <c r="AZ83" s="3"/>
      <c r="BA83" s="3"/>
      <c r="BB83" s="3"/>
      <c r="BC83" s="3"/>
      <c r="BD83" s="5"/>
      <c r="BE83" s="5"/>
      <c r="BF83" s="5"/>
      <c r="BG83" s="5"/>
      <c r="BH83" s="5"/>
      <c r="BI83" s="3"/>
      <c r="BJ83" s="3"/>
      <c r="BK83" s="3"/>
      <c r="BL83" s="3"/>
      <c r="BM83" s="3"/>
      <c r="BN83" s="3"/>
      <c r="BO83" s="3"/>
    </row>
    <row r="84" spans="1:67" ht="15" customHeight="1">
      <c r="A84" s="4"/>
      <c r="B84" s="3"/>
      <c r="C84" s="364"/>
      <c r="D84" s="364"/>
      <c r="E84" s="364"/>
      <c r="F84" s="364"/>
      <c r="G84" s="364"/>
      <c r="H84" s="364"/>
      <c r="I84" s="364"/>
      <c r="J84" s="364"/>
      <c r="K84" s="364"/>
      <c r="L84" s="364"/>
      <c r="M84" s="364"/>
      <c r="N84" s="364"/>
      <c r="O84" s="364"/>
      <c r="P84" s="364"/>
      <c r="Q84" s="364"/>
      <c r="R84" s="364"/>
      <c r="S84" s="364"/>
      <c r="T84" s="364"/>
      <c r="U84" s="364"/>
      <c r="V84" s="364"/>
      <c r="W84" s="364"/>
      <c r="X84" s="364"/>
      <c r="Y84" s="364"/>
      <c r="Z84" s="364"/>
      <c r="AA84" s="364"/>
      <c r="AB84" s="364"/>
      <c r="AC84" s="364"/>
      <c r="AD84" s="364"/>
      <c r="AE84" s="364"/>
      <c r="AF84" s="364"/>
      <c r="AG84" s="364"/>
      <c r="AH84" s="364"/>
      <c r="AI84" s="364"/>
      <c r="AJ84" s="364"/>
      <c r="AK84" s="364"/>
      <c r="AL84" s="364"/>
      <c r="AM84" s="364"/>
      <c r="AN84" s="364"/>
      <c r="AO84" s="364"/>
      <c r="AP84" s="364"/>
      <c r="AQ84" s="364"/>
      <c r="AR84" s="2"/>
      <c r="AS84" s="2"/>
      <c r="AT84" s="3"/>
      <c r="AU84" s="3"/>
      <c r="AV84" s="3"/>
      <c r="AW84" s="3"/>
      <c r="AX84" s="3"/>
      <c r="AY84" s="3"/>
      <c r="AZ84" s="3"/>
      <c r="BA84" s="3"/>
      <c r="BB84" s="3"/>
      <c r="BC84" s="3"/>
      <c r="BD84" s="5"/>
      <c r="BE84" s="5"/>
      <c r="BF84" s="5"/>
      <c r="BG84" s="5"/>
      <c r="BH84" s="5"/>
      <c r="BI84" s="3"/>
      <c r="BJ84" s="3"/>
      <c r="BK84" s="3"/>
      <c r="BL84" s="3"/>
      <c r="BM84" s="3"/>
      <c r="BN84" s="3"/>
      <c r="BO84" s="3"/>
    </row>
    <row r="85" spans="1:67" ht="15" customHeight="1">
      <c r="A85" s="4"/>
      <c r="B85" s="3"/>
      <c r="C85" s="364"/>
      <c r="D85" s="364"/>
      <c r="E85" s="364"/>
      <c r="F85" s="364"/>
      <c r="G85" s="364"/>
      <c r="H85" s="364"/>
      <c r="I85" s="364"/>
      <c r="J85" s="364"/>
      <c r="K85" s="364"/>
      <c r="L85" s="364"/>
      <c r="M85" s="364"/>
      <c r="N85" s="364"/>
      <c r="O85" s="364"/>
      <c r="P85" s="364"/>
      <c r="Q85" s="364"/>
      <c r="R85" s="364"/>
      <c r="S85" s="364"/>
      <c r="T85" s="364"/>
      <c r="U85" s="364"/>
      <c r="V85" s="364"/>
      <c r="W85" s="364"/>
      <c r="X85" s="364"/>
      <c r="Y85" s="364"/>
      <c r="Z85" s="364"/>
      <c r="AA85" s="364"/>
      <c r="AB85" s="364"/>
      <c r="AC85" s="364"/>
      <c r="AD85" s="364"/>
      <c r="AE85" s="364"/>
      <c r="AF85" s="364"/>
      <c r="AG85" s="364"/>
      <c r="AH85" s="364"/>
      <c r="AI85" s="364"/>
      <c r="AJ85" s="364"/>
      <c r="AK85" s="364"/>
      <c r="AL85" s="364"/>
      <c r="AM85" s="364"/>
      <c r="AN85" s="364"/>
      <c r="AO85" s="364"/>
      <c r="AP85" s="364"/>
      <c r="AQ85" s="364"/>
      <c r="AR85" s="2"/>
      <c r="AS85" s="2"/>
      <c r="AT85" s="3"/>
      <c r="AU85" s="3"/>
      <c r="AV85" s="3"/>
      <c r="AW85" s="3"/>
      <c r="AX85" s="3"/>
      <c r="AY85" s="3"/>
      <c r="AZ85" s="3"/>
      <c r="BA85" s="3"/>
      <c r="BB85" s="3"/>
      <c r="BC85" s="3"/>
      <c r="BD85" s="5"/>
      <c r="BE85" s="5"/>
      <c r="BF85" s="5"/>
      <c r="BG85" s="5"/>
      <c r="BH85" s="5"/>
      <c r="BI85" s="3"/>
      <c r="BJ85" s="3"/>
      <c r="BK85" s="3"/>
      <c r="BL85" s="3"/>
      <c r="BM85" s="3"/>
      <c r="BN85" s="3"/>
      <c r="BO85" s="3"/>
    </row>
    <row r="86" spans="1:67" ht="15" customHeight="1">
      <c r="A86" s="4"/>
      <c r="B86" s="3"/>
      <c r="C86" s="364"/>
      <c r="D86" s="364"/>
      <c r="E86" s="364"/>
      <c r="F86" s="364"/>
      <c r="G86" s="364"/>
      <c r="H86" s="364"/>
      <c r="I86" s="364"/>
      <c r="J86" s="364"/>
      <c r="K86" s="364"/>
      <c r="L86" s="364"/>
      <c r="M86" s="364"/>
      <c r="N86" s="364"/>
      <c r="O86" s="364"/>
      <c r="P86" s="364"/>
      <c r="Q86" s="364"/>
      <c r="R86" s="364"/>
      <c r="S86" s="364"/>
      <c r="T86" s="364"/>
      <c r="U86" s="364"/>
      <c r="V86" s="364"/>
      <c r="W86" s="364"/>
      <c r="X86" s="364"/>
      <c r="Y86" s="364"/>
      <c r="Z86" s="364"/>
      <c r="AA86" s="364"/>
      <c r="AB86" s="364"/>
      <c r="AC86" s="364"/>
      <c r="AD86" s="364"/>
      <c r="AE86" s="364"/>
      <c r="AF86" s="364"/>
      <c r="AG86" s="364"/>
      <c r="AH86" s="364"/>
      <c r="AI86" s="364"/>
      <c r="AJ86" s="364"/>
      <c r="AK86" s="364"/>
      <c r="AL86" s="364"/>
      <c r="AM86" s="364"/>
      <c r="AN86" s="364"/>
      <c r="AO86" s="364"/>
      <c r="AP86" s="364"/>
      <c r="AQ86" s="364"/>
      <c r="AR86" s="2"/>
      <c r="AS86" s="2"/>
      <c r="AT86" s="3"/>
      <c r="AU86" s="3"/>
      <c r="AV86" s="3"/>
      <c r="AW86" s="3"/>
      <c r="AX86" s="3"/>
      <c r="AY86" s="3"/>
      <c r="AZ86" s="3"/>
      <c r="BA86" s="3"/>
      <c r="BB86" s="3"/>
      <c r="BC86" s="3"/>
      <c r="BD86" s="5"/>
      <c r="BE86" s="5"/>
      <c r="BF86" s="5"/>
      <c r="BG86" s="5"/>
      <c r="BH86" s="5"/>
      <c r="BI86" s="3"/>
      <c r="BJ86" s="3"/>
      <c r="BK86" s="3"/>
      <c r="BL86" s="3"/>
      <c r="BM86" s="3"/>
      <c r="BN86" s="3"/>
      <c r="BO86" s="3"/>
    </row>
    <row r="87" spans="1:67" ht="15" customHeight="1">
      <c r="A87" s="4"/>
      <c r="B87" s="3"/>
      <c r="C87" s="364"/>
      <c r="D87" s="364"/>
      <c r="E87" s="364"/>
      <c r="F87" s="364"/>
      <c r="G87" s="364"/>
      <c r="H87" s="364"/>
      <c r="I87" s="364"/>
      <c r="J87" s="364"/>
      <c r="K87" s="364"/>
      <c r="L87" s="364"/>
      <c r="M87" s="364"/>
      <c r="N87" s="364"/>
      <c r="O87" s="364"/>
      <c r="P87" s="364"/>
      <c r="Q87" s="364"/>
      <c r="R87" s="364"/>
      <c r="S87" s="364"/>
      <c r="T87" s="364"/>
      <c r="U87" s="364"/>
      <c r="V87" s="364"/>
      <c r="W87" s="364"/>
      <c r="X87" s="364"/>
      <c r="Y87" s="364"/>
      <c r="Z87" s="364"/>
      <c r="AA87" s="364"/>
      <c r="AB87" s="364"/>
      <c r="AC87" s="364"/>
      <c r="AD87" s="364"/>
      <c r="AE87" s="364"/>
      <c r="AF87" s="364"/>
      <c r="AG87" s="364"/>
      <c r="AH87" s="364"/>
      <c r="AI87" s="364"/>
      <c r="AJ87" s="364"/>
      <c r="AK87" s="364"/>
      <c r="AL87" s="364"/>
      <c r="AM87" s="364"/>
      <c r="AN87" s="364"/>
      <c r="AO87" s="364"/>
      <c r="AP87" s="364"/>
      <c r="AQ87" s="364"/>
      <c r="AR87" s="2"/>
      <c r="AS87" s="2"/>
      <c r="AT87" s="3"/>
      <c r="AU87" s="3"/>
      <c r="AV87" s="3"/>
      <c r="AW87" s="3"/>
      <c r="AX87" s="3"/>
      <c r="AY87" s="3"/>
      <c r="AZ87" s="3"/>
      <c r="BA87" s="3"/>
      <c r="BB87" s="3"/>
      <c r="BC87" s="3"/>
      <c r="BD87" s="5"/>
      <c r="BE87" s="5"/>
      <c r="BF87" s="5"/>
      <c r="BG87" s="5"/>
      <c r="BH87" s="5"/>
      <c r="BI87" s="3"/>
      <c r="BJ87" s="3"/>
      <c r="BK87" s="3"/>
      <c r="BL87" s="3"/>
      <c r="BM87" s="3"/>
      <c r="BN87" s="3"/>
      <c r="BO87" s="3"/>
    </row>
    <row r="88" spans="1:67" ht="15" customHeight="1">
      <c r="A88" s="4"/>
      <c r="B88" s="3"/>
      <c r="C88" s="364"/>
      <c r="D88" s="364"/>
      <c r="E88" s="364"/>
      <c r="F88" s="364"/>
      <c r="G88" s="364"/>
      <c r="H88" s="364"/>
      <c r="I88" s="364"/>
      <c r="J88" s="364"/>
      <c r="K88" s="364"/>
      <c r="L88" s="364"/>
      <c r="M88" s="364"/>
      <c r="N88" s="364"/>
      <c r="O88" s="364"/>
      <c r="P88" s="364"/>
      <c r="Q88" s="364"/>
      <c r="R88" s="364"/>
      <c r="S88" s="364"/>
      <c r="T88" s="364"/>
      <c r="U88" s="364"/>
      <c r="V88" s="364"/>
      <c r="W88" s="364"/>
      <c r="X88" s="364"/>
      <c r="Y88" s="364"/>
      <c r="Z88" s="364"/>
      <c r="AA88" s="364"/>
      <c r="AB88" s="364"/>
      <c r="AC88" s="364"/>
      <c r="AD88" s="364"/>
      <c r="AE88" s="364"/>
      <c r="AF88" s="364"/>
      <c r="AG88" s="364"/>
      <c r="AH88" s="364"/>
      <c r="AI88" s="364"/>
      <c r="AJ88" s="364"/>
      <c r="AK88" s="364"/>
      <c r="AL88" s="364"/>
      <c r="AM88" s="364"/>
      <c r="AN88" s="364"/>
      <c r="AO88" s="364"/>
      <c r="AP88" s="364"/>
      <c r="AQ88" s="364"/>
      <c r="AR88" s="2"/>
      <c r="AS88" s="2"/>
      <c r="AT88" s="3"/>
      <c r="AU88" s="41"/>
      <c r="AV88" s="3"/>
      <c r="AW88" s="3"/>
      <c r="AX88" s="3"/>
      <c r="AY88" s="3"/>
      <c r="AZ88" s="3"/>
      <c r="BA88" s="3"/>
      <c r="BB88" s="3"/>
      <c r="BC88" s="3"/>
      <c r="BD88" s="5"/>
      <c r="BE88" s="5"/>
      <c r="BF88" s="5"/>
      <c r="BG88" s="5"/>
      <c r="BH88" s="5"/>
      <c r="BI88" s="3"/>
      <c r="BJ88" s="3"/>
      <c r="BK88" s="3"/>
      <c r="BL88" s="3"/>
      <c r="BM88" s="3"/>
      <c r="BN88" s="3"/>
      <c r="BO88" s="3"/>
    </row>
    <row r="89" spans="1:67" ht="15" customHeight="1">
      <c r="A89" s="4"/>
      <c r="B89" s="3"/>
      <c r="C89" s="365"/>
      <c r="D89" s="365"/>
      <c r="E89" s="365"/>
      <c r="F89" s="365"/>
      <c r="G89" s="365"/>
      <c r="H89" s="365"/>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365"/>
      <c r="AJ89" s="365"/>
      <c r="AK89" s="365"/>
      <c r="AL89" s="365"/>
      <c r="AM89" s="365"/>
      <c r="AN89" s="365"/>
      <c r="AO89" s="365"/>
      <c r="AP89" s="365"/>
      <c r="AQ89" s="365"/>
      <c r="AR89" s="2"/>
      <c r="AS89" s="2"/>
      <c r="AT89" s="3"/>
      <c r="AU89" s="3"/>
      <c r="AV89" s="3"/>
      <c r="AW89" s="3"/>
      <c r="AX89" s="3"/>
      <c r="AY89" s="3"/>
      <c r="AZ89" s="3"/>
      <c r="BA89" s="3"/>
      <c r="BB89" s="3"/>
      <c r="BC89" s="3"/>
      <c r="BD89" s="5"/>
      <c r="BE89" s="5"/>
      <c r="BF89" s="5"/>
      <c r="BG89" s="5"/>
      <c r="BH89" s="5"/>
      <c r="BI89" s="3"/>
      <c r="BJ89" s="3"/>
      <c r="BK89" s="3"/>
      <c r="BL89" s="3"/>
      <c r="BM89" s="3"/>
      <c r="BN89" s="3"/>
      <c r="BO89" s="3"/>
    </row>
    <row r="90" spans="1:67" ht="15" customHeight="1">
      <c r="A90" s="4"/>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2"/>
      <c r="AS90" s="2"/>
      <c r="AT90" s="3"/>
      <c r="AU90" s="3"/>
      <c r="AV90" s="3"/>
      <c r="AW90" s="3"/>
      <c r="AX90" s="3"/>
      <c r="AY90" s="3"/>
      <c r="AZ90" s="3"/>
      <c r="BA90" s="3"/>
      <c r="BB90" s="3"/>
      <c r="BC90" s="3"/>
      <c r="BD90" s="5"/>
      <c r="BE90" s="5"/>
      <c r="BF90" s="5"/>
      <c r="BG90" s="5"/>
      <c r="BH90" s="5"/>
      <c r="BI90" s="3"/>
      <c r="BJ90" s="3"/>
      <c r="BK90" s="3"/>
      <c r="BL90" s="3"/>
      <c r="BM90" s="3"/>
      <c r="BN90" s="3"/>
      <c r="BO90" s="3"/>
    </row>
    <row r="91" spans="1:67" ht="15" customHeight="1">
      <c r="A91" s="51">
        <v>13</v>
      </c>
      <c r="B91" s="3" t="s">
        <v>9</v>
      </c>
      <c r="C91" s="119" t="str">
        <f>VLOOKUP(1430,ls!$B:$E,$BA$2,TRUE)</f>
        <v>毕业后的予定</v>
      </c>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3"/>
      <c r="AC91" s="3"/>
      <c r="AD91" s="3"/>
      <c r="AE91" s="3"/>
      <c r="AF91" s="3"/>
      <c r="AG91" s="3"/>
      <c r="AH91" s="3"/>
      <c r="AI91" s="3"/>
      <c r="AJ91" s="3"/>
      <c r="AK91" s="3"/>
      <c r="AL91" s="3"/>
      <c r="AM91" s="3"/>
      <c r="AN91" s="3"/>
      <c r="AO91" s="3"/>
      <c r="AP91" s="3"/>
      <c r="AQ91" s="3"/>
      <c r="AR91" s="2"/>
      <c r="AS91" s="2"/>
      <c r="AT91" s="3"/>
      <c r="AU91" s="3"/>
      <c r="AV91" s="3"/>
      <c r="AW91" s="3"/>
      <c r="AX91" s="3"/>
      <c r="AY91" s="3"/>
      <c r="AZ91" s="3"/>
      <c r="BA91" s="3"/>
      <c r="BB91" s="3"/>
      <c r="BC91" s="3"/>
      <c r="BD91" s="5"/>
      <c r="BE91" s="5"/>
      <c r="BF91" s="5"/>
      <c r="BG91" s="5"/>
      <c r="BH91" s="5"/>
      <c r="BI91" s="3"/>
      <c r="BJ91" s="3"/>
      <c r="BK91" s="3"/>
      <c r="BL91" s="3"/>
      <c r="BM91" s="3"/>
      <c r="BN91" s="3"/>
      <c r="BO91" s="3"/>
    </row>
    <row r="92" spans="1:67" ht="15" customHeight="1">
      <c r="A92" s="21"/>
      <c r="B92" s="14"/>
      <c r="C92" s="123" t="str">
        <f>VLOOKUP(1430,ls!$B:$E,$BA$3,TRUE)</f>
        <v>Post-Graduation Plan in Japan</v>
      </c>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4"/>
      <c r="AC92" s="14"/>
      <c r="AD92" s="14"/>
      <c r="AE92" s="14"/>
      <c r="AF92" s="14"/>
      <c r="AG92" s="14"/>
      <c r="AH92" s="14"/>
      <c r="AI92" s="14"/>
      <c r="AJ92" s="14"/>
      <c r="AK92" s="14"/>
      <c r="AL92" s="14"/>
      <c r="AM92" s="14"/>
      <c r="AN92" s="14"/>
      <c r="AO92" s="14"/>
      <c r="AP92" s="14"/>
      <c r="AQ92" s="14"/>
      <c r="AR92" s="22"/>
      <c r="AS92" s="22"/>
      <c r="AT92" s="3"/>
      <c r="AU92" s="14"/>
      <c r="AV92" s="14"/>
      <c r="AW92" s="14"/>
      <c r="AX92" s="14"/>
      <c r="AY92" s="14"/>
      <c r="AZ92" s="14"/>
      <c r="BA92" s="14"/>
      <c r="BB92" s="14"/>
      <c r="BC92" s="14"/>
      <c r="BD92" s="14"/>
      <c r="BE92" s="14"/>
      <c r="BF92" s="14"/>
      <c r="BG92" s="5"/>
      <c r="BH92" s="5"/>
      <c r="BI92" s="14"/>
      <c r="BJ92" s="14"/>
      <c r="BK92" s="14"/>
      <c r="BL92" s="14"/>
      <c r="BM92" s="14"/>
      <c r="BN92" s="14"/>
      <c r="BO92" s="14"/>
    </row>
    <row r="93" spans="1:67" ht="15" customHeight="1">
      <c r="A93" s="21"/>
      <c r="B93" s="14"/>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14"/>
      <c r="AC93" s="14"/>
      <c r="AD93" s="14"/>
      <c r="AE93" s="14"/>
      <c r="AF93" s="14"/>
      <c r="AG93" s="14"/>
      <c r="AH93" s="14"/>
      <c r="AI93" s="14"/>
      <c r="AJ93" s="14"/>
      <c r="AK93" s="14"/>
      <c r="AL93" s="14"/>
      <c r="AM93" s="14"/>
      <c r="AN93" s="14"/>
      <c r="AO93" s="14"/>
      <c r="AP93" s="14"/>
      <c r="AQ93" s="14"/>
      <c r="AR93" s="22"/>
      <c r="AS93" s="22"/>
      <c r="AT93" s="3"/>
      <c r="AU93" s="14"/>
      <c r="AV93" s="19"/>
      <c r="AW93" s="14"/>
      <c r="AX93" s="14"/>
      <c r="AY93" s="14"/>
      <c r="AZ93" s="14"/>
      <c r="BA93" s="14"/>
      <c r="BB93" s="14"/>
      <c r="BC93" s="14"/>
      <c r="BD93" s="14"/>
      <c r="BE93" s="14"/>
      <c r="BF93" s="14"/>
      <c r="BG93" s="5"/>
      <c r="BH93" s="5"/>
      <c r="BI93" s="14"/>
      <c r="BJ93" s="14"/>
      <c r="BK93" s="14"/>
      <c r="BL93" s="14"/>
      <c r="BM93" s="14"/>
      <c r="BN93" s="14"/>
      <c r="BO93" s="14"/>
    </row>
    <row r="94" spans="1:67" ht="15" customHeight="1">
      <c r="A94" s="4"/>
      <c r="B94" s="3"/>
      <c r="C94" s="3"/>
      <c r="D94" s="142" t="str">
        <f>IF(SUBSTITUTE(O94," ","")&lt;&gt;"","■","□")</f>
        <v>□</v>
      </c>
      <c r="E94" s="142"/>
      <c r="F94" s="120" t="s">
        <v>33</v>
      </c>
      <c r="G94" s="131" t="s">
        <v>13</v>
      </c>
      <c r="H94" s="120"/>
      <c r="I94" s="119" t="str">
        <f>VLOOKUP(1440,ls!$B:$E,$BA$2,TRUE)</f>
        <v>進学希望</v>
      </c>
      <c r="J94" s="119"/>
      <c r="K94" s="119"/>
      <c r="L94" s="119"/>
      <c r="M94" s="119"/>
      <c r="N94" s="119"/>
      <c r="O94" s="143" t="str">
        <f>BB94</f>
        <v xml:space="preserve"> </v>
      </c>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2"/>
      <c r="AS94" s="2"/>
      <c r="AT94" s="3"/>
      <c r="AU94" s="3"/>
      <c r="AV94" s="3"/>
      <c r="AW94" s="3"/>
      <c r="AX94" s="3"/>
      <c r="AY94" s="3"/>
      <c r="AZ94" s="3"/>
      <c r="BA94" s="9">
        <v>1</v>
      </c>
      <c r="BB94" s="10" t="str">
        <f>INDEX(BH94:BH99,BA94)</f>
        <v xml:space="preserve"> </v>
      </c>
      <c r="BC94" s="3"/>
      <c r="BD94" s="17">
        <v>1</v>
      </c>
      <c r="BE94" s="17" t="s">
        <v>8</v>
      </c>
      <c r="BF94" s="17" t="s">
        <v>8</v>
      </c>
      <c r="BG94" s="17" t="str">
        <f>VLOOKUP(100,ls!$B:$E,$BA$2,TRUE)&amp;" / "&amp;VLOOKUP(100,ls!$B:$E,$BA$3,TRUE)</f>
        <v>未选择 / Unselected</v>
      </c>
      <c r="BH94" s="17" t="str">
        <f>BE94</f>
        <v xml:space="preserve"> </v>
      </c>
      <c r="BI94" s="3"/>
      <c r="BJ94" s="3"/>
      <c r="BK94" s="3"/>
      <c r="BL94" s="3"/>
      <c r="BM94" s="3"/>
      <c r="BN94" s="3"/>
      <c r="BO94" s="3"/>
    </row>
    <row r="95" spans="1:67" ht="15" customHeight="1">
      <c r="A95" s="21"/>
      <c r="B95" s="14"/>
      <c r="C95" s="14"/>
      <c r="D95" s="142"/>
      <c r="E95" s="142"/>
      <c r="F95" s="120"/>
      <c r="G95" s="14"/>
      <c r="H95" s="14"/>
      <c r="I95" s="123" t="str">
        <f>VLOOKUP(1440,ls!$B:$E,$BA$3,TRUE)</f>
        <v>Further Schooling</v>
      </c>
      <c r="J95" s="123"/>
      <c r="K95" s="123"/>
      <c r="L95" s="123"/>
      <c r="M95" s="123"/>
      <c r="N95" s="12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22"/>
      <c r="AS95" s="22"/>
      <c r="AT95" s="3"/>
      <c r="AU95" s="41"/>
      <c r="AV95" s="3"/>
      <c r="AW95" s="3"/>
      <c r="AX95" s="3"/>
      <c r="AY95" s="15"/>
      <c r="AZ95" s="3"/>
      <c r="BA95" s="15"/>
      <c r="BB95" s="19"/>
      <c r="BC95" s="16"/>
      <c r="BD95" s="17">
        <v>2</v>
      </c>
      <c r="BE95" s="17" t="str">
        <f>VLOOKUP(1450,ls!$B:$E,$BA$2,TRUE)</f>
        <v>大学院</v>
      </c>
      <c r="BF95" s="17" t="str">
        <f>VLOOKUP(1450,ls!$B:$E,$BA$3,TRUE)</f>
        <v>Graduate School</v>
      </c>
      <c r="BG95" s="17" t="str">
        <f>BE95&amp;"  /  "&amp;BF95</f>
        <v>大学院  /  Graduate School</v>
      </c>
      <c r="BH95" s="17" t="str">
        <f>BE95</f>
        <v>大学院</v>
      </c>
      <c r="BI95" s="14"/>
      <c r="BJ95" s="14"/>
      <c r="BK95" s="14"/>
      <c r="BL95" s="14"/>
      <c r="BM95" s="14"/>
      <c r="BN95" s="14"/>
      <c r="BO95" s="14"/>
    </row>
    <row r="96" spans="1:67" ht="15" customHeight="1">
      <c r="A96" s="6"/>
      <c r="B96" s="26"/>
      <c r="C96" s="26"/>
      <c r="D96" s="26"/>
      <c r="E96" s="26"/>
      <c r="F96" s="26"/>
      <c r="G96" s="26"/>
      <c r="H96" s="26"/>
      <c r="I96" s="26"/>
      <c r="J96" s="26"/>
      <c r="K96" s="26"/>
      <c r="L96" s="26"/>
      <c r="M96" s="26"/>
      <c r="N96" s="26"/>
      <c r="O96" s="26"/>
      <c r="P96" s="3"/>
      <c r="Q96" s="19"/>
      <c r="R96" s="19"/>
      <c r="S96" s="19"/>
      <c r="T96" s="19"/>
      <c r="U96" s="3"/>
      <c r="V96" s="3"/>
      <c r="W96" s="26"/>
      <c r="X96" s="3"/>
      <c r="Y96" s="19"/>
      <c r="Z96" s="26"/>
      <c r="AA96" s="26"/>
      <c r="AB96" s="26"/>
      <c r="AC96" s="26"/>
      <c r="AD96" s="26"/>
      <c r="AE96" s="26"/>
      <c r="AF96" s="26"/>
      <c r="AG96" s="26"/>
      <c r="AH96" s="26"/>
      <c r="AI96" s="26"/>
      <c r="AJ96" s="26"/>
      <c r="AK96" s="26"/>
      <c r="AL96" s="26"/>
      <c r="AM96" s="26"/>
      <c r="AN96" s="26"/>
      <c r="AO96" s="26"/>
      <c r="AP96" s="26"/>
      <c r="AQ96" s="26"/>
      <c r="AR96" s="27"/>
      <c r="AS96" s="27"/>
      <c r="AT96" s="3"/>
      <c r="AU96" s="26"/>
      <c r="AV96" s="19"/>
      <c r="AW96" s="26"/>
      <c r="AX96" s="26"/>
      <c r="AY96" s="15"/>
      <c r="AZ96" s="26"/>
      <c r="BA96" s="15"/>
      <c r="BB96" s="19"/>
      <c r="BC96" s="3"/>
      <c r="BD96" s="17">
        <v>3</v>
      </c>
      <c r="BE96" s="17" t="str">
        <f>VLOOKUP(1460,ls!$B:$E,$BA$2,TRUE)</f>
        <v>大学</v>
      </c>
      <c r="BF96" s="17" t="str">
        <f>VLOOKUP(1460,ls!$B:$E,$BA$3,TRUE)</f>
        <v>University</v>
      </c>
      <c r="BG96" s="17" t="str">
        <f>BE96&amp;"  /  "&amp;BF96</f>
        <v>大学  /  University</v>
      </c>
      <c r="BH96" s="17" t="str">
        <f>BE96</f>
        <v>大学</v>
      </c>
      <c r="BI96" s="26"/>
      <c r="BJ96" s="26"/>
      <c r="BK96" s="26"/>
      <c r="BL96" s="26"/>
      <c r="BM96" s="26"/>
      <c r="BN96" s="26"/>
      <c r="BO96" s="26"/>
    </row>
    <row r="97" spans="1:67" ht="15" customHeight="1">
      <c r="A97" s="4"/>
      <c r="B97" s="3"/>
      <c r="C97" s="3"/>
      <c r="D97" s="3"/>
      <c r="E97" s="3"/>
      <c r="F97" s="3"/>
      <c r="G97" s="131" t="s">
        <v>34</v>
      </c>
      <c r="H97" s="120"/>
      <c r="I97" s="119" t="str">
        <f>VLOOKUP(1530,ls!$B:$E,$BA$2,TRUE)</f>
        <v>志望学科</v>
      </c>
      <c r="J97" s="119"/>
      <c r="K97" s="119"/>
      <c r="L97" s="119"/>
      <c r="M97" s="119"/>
      <c r="N97" s="119"/>
      <c r="O97" s="145"/>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2"/>
      <c r="AS97" s="2"/>
      <c r="AT97" s="3"/>
      <c r="AU97" s="3"/>
      <c r="AV97" s="3"/>
      <c r="AW97" s="3"/>
      <c r="AX97" s="3"/>
      <c r="AY97" s="3"/>
      <c r="AZ97" s="3"/>
      <c r="BA97" s="15"/>
      <c r="BB97" s="19"/>
      <c r="BC97" s="3"/>
      <c r="BD97" s="17">
        <v>4</v>
      </c>
      <c r="BE97" s="17" t="str">
        <f>VLOOKUP(1470,ls!$B:$E,$BA$2,TRUE)</f>
        <v>短大</v>
      </c>
      <c r="BF97" s="17" t="str">
        <f>VLOOKUP(1470,ls!$B:$E,$BA$3,TRUE)</f>
        <v>Junior College</v>
      </c>
      <c r="BG97" s="17" t="str">
        <f>BE97&amp;"  /  "&amp;BF97</f>
        <v>短大  /  Junior College</v>
      </c>
      <c r="BH97" s="17" t="str">
        <f>BE97</f>
        <v>短大</v>
      </c>
      <c r="BI97" s="3"/>
      <c r="BJ97" s="3"/>
      <c r="BK97" s="3"/>
      <c r="BL97" s="3"/>
      <c r="BM97" s="3"/>
      <c r="BN97" s="3"/>
      <c r="BO97" s="3"/>
    </row>
    <row r="98" spans="1:67" ht="15" customHeight="1">
      <c r="A98" s="21"/>
      <c r="B98" s="14"/>
      <c r="C98" s="14"/>
      <c r="D98" s="14"/>
      <c r="E98" s="14"/>
      <c r="F98" s="14"/>
      <c r="G98" s="14"/>
      <c r="H98" s="14"/>
      <c r="I98" s="123" t="str">
        <f>VLOOKUP(1530,ls!$B:$E,$BA$3,TRUE)</f>
        <v>Subject of Study</v>
      </c>
      <c r="J98" s="123"/>
      <c r="K98" s="123"/>
      <c r="L98" s="123"/>
      <c r="M98" s="123"/>
      <c r="N98" s="123"/>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22"/>
      <c r="AS98" s="22"/>
      <c r="AT98" s="3"/>
      <c r="AU98" s="14"/>
      <c r="AV98" s="14"/>
      <c r="AW98" s="14"/>
      <c r="AX98" s="14"/>
      <c r="AY98" s="14"/>
      <c r="AZ98" s="14"/>
      <c r="BA98" s="15"/>
      <c r="BB98" s="19"/>
      <c r="BC98" s="14"/>
      <c r="BD98" s="17">
        <v>5</v>
      </c>
      <c r="BE98" s="17" t="str">
        <f>VLOOKUP(1480,ls!$B:$E,$BA$2,TRUE)</f>
        <v>専門学校</v>
      </c>
      <c r="BF98" s="17" t="str">
        <f>VLOOKUP(1480,ls!$B:$E,$BA$3,TRUE)</f>
        <v>Vocational School</v>
      </c>
      <c r="BG98" s="17" t="str">
        <f>BE98&amp;"  /  "&amp;BF98</f>
        <v>専門学校  /  Vocational School</v>
      </c>
      <c r="BH98" s="17" t="str">
        <f>BE98</f>
        <v>専門学校</v>
      </c>
      <c r="BI98" s="14"/>
      <c r="BJ98" s="14"/>
      <c r="BK98" s="14"/>
      <c r="BL98" s="14"/>
      <c r="BM98" s="14"/>
      <c r="BN98" s="14"/>
      <c r="BO98" s="14"/>
    </row>
    <row r="99" spans="1:67" ht="15" customHeight="1">
      <c r="A99" s="21"/>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22"/>
      <c r="AS99" s="22"/>
      <c r="AT99" s="3"/>
      <c r="AU99" s="3"/>
      <c r="AV99" s="3"/>
      <c r="AW99" s="14"/>
      <c r="AX99" s="14"/>
      <c r="AY99" s="14"/>
      <c r="AZ99" s="14"/>
      <c r="BA99" s="15"/>
      <c r="BB99" s="3"/>
      <c r="BC99" s="3"/>
      <c r="BD99" s="17">
        <v>6</v>
      </c>
      <c r="BE99" s="17" t="str">
        <f>VLOOKUP(1490,ls!$B:$E,$BA$2,TRUE)</f>
        <v>其他</v>
      </c>
      <c r="BF99" s="17" t="str">
        <f>VLOOKUP(1490,ls!$B:$E,$BA$3,TRUE)</f>
        <v>Others</v>
      </c>
      <c r="BG99" s="17" t="str">
        <f>BE99&amp;"  /  "&amp;BF99</f>
        <v>其他  /  Others</v>
      </c>
      <c r="BH99" s="52" t="str">
        <f>IF(AU100="","",AU100)</f>
        <v/>
      </c>
      <c r="BI99" s="14"/>
      <c r="BJ99" s="14"/>
      <c r="BK99" s="14"/>
      <c r="BL99" s="14"/>
      <c r="BM99" s="14"/>
      <c r="BN99" s="14"/>
      <c r="BO99" s="14"/>
    </row>
    <row r="100" spans="1:67" ht="15" customHeight="1">
      <c r="A100" s="4"/>
      <c r="B100" s="3"/>
      <c r="C100" s="3"/>
      <c r="D100" s="142" t="str">
        <f>IF(SUBSTITUTE(O100," ","")&lt;&gt;"","■","□")</f>
        <v>□</v>
      </c>
      <c r="E100" s="142"/>
      <c r="F100" s="120" t="s">
        <v>35</v>
      </c>
      <c r="G100" s="119" t="str">
        <f>VLOOKUP(1540,ls!$B:$E,$BA$2,TRUE)</f>
        <v>其他（帰国等）</v>
      </c>
      <c r="H100" s="119"/>
      <c r="I100" s="119"/>
      <c r="J100" s="119"/>
      <c r="K100" s="119"/>
      <c r="L100" s="119"/>
      <c r="M100" s="119"/>
      <c r="N100" s="119"/>
      <c r="O100" s="145"/>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22"/>
      <c r="AS100" s="22"/>
      <c r="AT100" s="41" t="s">
        <v>36</v>
      </c>
      <c r="AU100" s="53"/>
      <c r="AV100" s="41" t="s">
        <v>37</v>
      </c>
      <c r="AW100" s="3" t="str">
        <f>"←"&amp;VLOOKUP(1490,ls!$B:$E,$BA$2,TRUE)&amp;"/"&amp;VLOOKUP(1490,ls!$B:$E,$BA$3,TRUE)</f>
        <v>←其他/Others</v>
      </c>
      <c r="AX100" s="3"/>
      <c r="AY100" s="3"/>
      <c r="AZ100" s="3"/>
      <c r="BA100" s="3"/>
      <c r="BB100" s="3"/>
      <c r="BC100" s="3"/>
      <c r="BD100" s="5"/>
      <c r="BE100" s="5"/>
      <c r="BF100" s="5"/>
      <c r="BG100" s="5"/>
      <c r="BH100" s="5"/>
      <c r="BI100" s="3"/>
      <c r="BJ100" s="3"/>
      <c r="BK100" s="3"/>
      <c r="BL100" s="3"/>
      <c r="BM100" s="3"/>
      <c r="BN100" s="3"/>
      <c r="BO100" s="3"/>
    </row>
    <row r="101" spans="1:67" ht="15" customHeight="1">
      <c r="A101" s="21"/>
      <c r="B101" s="14"/>
      <c r="C101" s="14"/>
      <c r="D101" s="142"/>
      <c r="E101" s="142"/>
      <c r="F101" s="120"/>
      <c r="G101" s="123" t="str">
        <f>VLOOKUP(1540,ls!$B:$E,$BA$3,TRUE)</f>
        <v>Others（e.g. Return Home）</v>
      </c>
      <c r="H101" s="123"/>
      <c r="I101" s="123"/>
      <c r="J101" s="123"/>
      <c r="K101" s="123"/>
      <c r="L101" s="123"/>
      <c r="M101" s="123"/>
      <c r="N101" s="123"/>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22"/>
      <c r="AS101" s="22"/>
      <c r="AT101" s="3"/>
      <c r="AU101" s="14"/>
      <c r="AV101" s="14"/>
      <c r="AW101" s="14"/>
      <c r="AX101" s="3"/>
      <c r="AY101" s="3"/>
      <c r="AZ101" s="3"/>
      <c r="BA101" s="3"/>
      <c r="BB101" s="14"/>
      <c r="BC101" s="14"/>
      <c r="BD101" s="5"/>
      <c r="BE101" s="5"/>
      <c r="BF101" s="5"/>
      <c r="BG101" s="5"/>
      <c r="BH101" s="5"/>
      <c r="BI101" s="14"/>
      <c r="BJ101" s="14"/>
      <c r="BK101" s="14"/>
      <c r="BL101" s="14"/>
      <c r="BM101" s="14"/>
      <c r="BN101" s="14"/>
      <c r="BO101" s="14"/>
    </row>
    <row r="102" spans="1:67" ht="15" customHeight="1">
      <c r="A102" s="4"/>
      <c r="B102" s="3"/>
      <c r="C102" s="3"/>
      <c r="D102" s="3"/>
      <c r="E102" s="3"/>
      <c r="F102" s="23"/>
      <c r="G102" s="23"/>
      <c r="H102" s="23"/>
      <c r="I102" s="23"/>
      <c r="J102" s="23"/>
      <c r="K102" s="2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2"/>
      <c r="AS102" s="2"/>
      <c r="AT102" s="3"/>
      <c r="AU102" s="3"/>
      <c r="AV102" s="3"/>
      <c r="AW102" s="3"/>
      <c r="AX102" s="3"/>
      <c r="AY102" s="3"/>
      <c r="AZ102" s="3"/>
      <c r="BA102" s="3"/>
      <c r="BB102" s="3"/>
      <c r="BC102" s="3"/>
      <c r="BD102" s="5"/>
      <c r="BE102" s="5"/>
      <c r="BF102" s="5"/>
      <c r="BG102" s="5"/>
      <c r="BH102" s="5"/>
      <c r="BI102" s="3"/>
      <c r="BJ102" s="3"/>
      <c r="BK102" s="3"/>
      <c r="BL102" s="3"/>
      <c r="BM102" s="3"/>
      <c r="BN102" s="3"/>
      <c r="BO102" s="3"/>
    </row>
    <row r="103" spans="1:67" ht="15" customHeight="1">
      <c r="A103" s="4"/>
      <c r="B103" s="3"/>
      <c r="C103" s="3"/>
      <c r="D103" s="3"/>
      <c r="E103" s="3"/>
      <c r="F103" s="23"/>
      <c r="G103" s="23"/>
      <c r="H103" s="23"/>
      <c r="I103" s="23"/>
      <c r="J103" s="23"/>
      <c r="K103" s="23"/>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3"/>
      <c r="AP103" s="3"/>
      <c r="AQ103" s="3"/>
      <c r="AR103" s="2"/>
      <c r="AS103" s="2"/>
      <c r="AT103" s="3"/>
      <c r="AU103" s="3"/>
      <c r="AV103" s="3"/>
      <c r="AW103" s="3"/>
      <c r="AX103" s="3"/>
      <c r="AY103" s="3"/>
      <c r="AZ103" s="3"/>
      <c r="BA103" s="3"/>
      <c r="BB103" s="3"/>
      <c r="BC103" s="3"/>
      <c r="BD103" s="5"/>
      <c r="BE103" s="5"/>
      <c r="BF103" s="5"/>
      <c r="BG103" s="5"/>
      <c r="BH103" s="5"/>
      <c r="BI103" s="3"/>
      <c r="BJ103" s="3"/>
      <c r="BK103" s="3"/>
      <c r="BL103" s="3"/>
      <c r="BM103" s="3"/>
      <c r="BN103" s="3"/>
      <c r="BO103" s="3"/>
    </row>
    <row r="104" spans="1:67" ht="15" customHeight="1">
      <c r="A104" s="4"/>
      <c r="B104" s="3"/>
      <c r="C104" s="3"/>
      <c r="D104" s="140" t="str">
        <f>VLOOKUP(1550,ls!$B:$E,$BA$2,TRUE)</f>
        <v>以上，全部属实，我</v>
      </c>
      <c r="E104" s="140"/>
      <c r="F104" s="140"/>
      <c r="G104" s="140"/>
      <c r="H104" s="140"/>
      <c r="I104" s="140"/>
      <c r="J104" s="140"/>
      <c r="K104" s="140"/>
      <c r="L104" s="140"/>
      <c r="M104" s="128" t="str">
        <f>AA7&amp;" "&amp;AH7</f>
        <v xml:space="preserve"> </v>
      </c>
      <c r="N104" s="128"/>
      <c r="O104" s="128"/>
      <c r="P104" s="128"/>
      <c r="Q104" s="128"/>
      <c r="R104" s="128"/>
      <c r="S104" s="128"/>
      <c r="T104" s="128"/>
      <c r="U104" s="128"/>
      <c r="V104" s="128"/>
      <c r="W104" s="128"/>
      <c r="X104" s="128"/>
      <c r="Y104" s="128"/>
      <c r="Z104" s="128"/>
      <c r="AA104" s="128"/>
      <c r="AB104" s="128"/>
      <c r="AC104" s="119" t="str">
        <f>VLOOKUP(1560,ls!$B:$E,$BA$2,TRUE)</f>
        <v>亲自填写</v>
      </c>
      <c r="AD104" s="119"/>
      <c r="AE104" s="119"/>
      <c r="AF104" s="119"/>
      <c r="AG104" s="119"/>
      <c r="AH104" s="119"/>
      <c r="AI104" s="119"/>
      <c r="AJ104" s="119"/>
      <c r="AK104" s="119"/>
      <c r="AL104" s="119"/>
      <c r="AM104" s="119"/>
      <c r="AN104" s="119"/>
      <c r="AO104" s="119"/>
      <c r="AP104" s="119"/>
      <c r="AQ104" s="3"/>
      <c r="AR104" s="2"/>
      <c r="AS104" s="2"/>
      <c r="AT104" s="3"/>
      <c r="AU104" s="3"/>
      <c r="AV104" s="3"/>
      <c r="AW104" s="3"/>
      <c r="AX104" s="3"/>
      <c r="AY104" s="3"/>
      <c r="AZ104" s="3"/>
      <c r="BA104" s="3"/>
      <c r="BB104" s="3"/>
      <c r="BC104" s="3"/>
      <c r="BD104" s="5"/>
      <c r="BE104" s="5"/>
      <c r="BF104" s="5"/>
      <c r="BG104" s="5"/>
      <c r="BH104" s="5"/>
      <c r="BI104" s="3"/>
      <c r="BJ104" s="3"/>
      <c r="BK104" s="3"/>
      <c r="BL104" s="3"/>
      <c r="BM104" s="3"/>
      <c r="BN104" s="3"/>
      <c r="BO104" s="3"/>
    </row>
    <row r="105" spans="1:67" ht="15" customHeight="1">
      <c r="A105" s="21"/>
      <c r="B105" s="14"/>
      <c r="C105" s="14"/>
      <c r="D105" s="14"/>
      <c r="E105" s="124" t="str">
        <f>VLOOKUP(1550,ls!$B:$E,$BA$3,TRUE)</f>
        <v>I</v>
      </c>
      <c r="F105" s="124"/>
      <c r="G105" s="124"/>
      <c r="H105" s="124"/>
      <c r="I105" s="124"/>
      <c r="J105" s="124"/>
      <c r="K105" s="124"/>
      <c r="L105" s="144" t="str">
        <f>AA7&amp;" "&amp;AH7</f>
        <v xml:space="preserve"> </v>
      </c>
      <c r="M105" s="144"/>
      <c r="N105" s="144"/>
      <c r="O105" s="144"/>
      <c r="P105" s="144"/>
      <c r="Q105" s="144"/>
      <c r="R105" s="144"/>
      <c r="S105" s="144"/>
      <c r="T105" s="144"/>
      <c r="U105" s="144"/>
      <c r="V105" s="144"/>
      <c r="W105" s="144"/>
      <c r="X105" s="123" t="str">
        <f>VLOOKUP(1560,ls!$B:$E,$BA$3,TRUE)</f>
        <v>hereby declare the above statements to be true and correct．</v>
      </c>
      <c r="Y105" s="123"/>
      <c r="Z105" s="123"/>
      <c r="AA105" s="123"/>
      <c r="AB105" s="123"/>
      <c r="AC105" s="123"/>
      <c r="AD105" s="123"/>
      <c r="AE105" s="123"/>
      <c r="AF105" s="123"/>
      <c r="AG105" s="123"/>
      <c r="AH105" s="123"/>
      <c r="AI105" s="123"/>
      <c r="AJ105" s="123"/>
      <c r="AK105" s="123"/>
      <c r="AL105" s="123"/>
      <c r="AM105" s="123"/>
      <c r="AN105" s="123"/>
      <c r="AO105" s="123"/>
      <c r="AP105" s="123"/>
      <c r="AQ105" s="14"/>
      <c r="AR105" s="22"/>
      <c r="AS105" s="22"/>
      <c r="AT105" s="3"/>
      <c r="AU105" s="14"/>
      <c r="AV105" s="14"/>
      <c r="AW105" s="14"/>
      <c r="AX105" s="14"/>
      <c r="AY105" s="14"/>
      <c r="AZ105" s="14"/>
      <c r="BA105" s="14"/>
      <c r="BB105" s="14"/>
      <c r="BC105" s="14"/>
      <c r="BD105" s="5"/>
      <c r="BE105" s="5"/>
      <c r="BF105" s="5"/>
      <c r="BG105" s="5"/>
      <c r="BH105" s="5"/>
      <c r="BI105" s="14"/>
      <c r="BJ105" s="14"/>
      <c r="BK105" s="14"/>
      <c r="BL105" s="14"/>
      <c r="BM105" s="14"/>
      <c r="BN105" s="14"/>
      <c r="BO105" s="14"/>
    </row>
    <row r="106" spans="1:67" ht="15" customHeight="1">
      <c r="A106" s="4"/>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2"/>
      <c r="AS106" s="2"/>
      <c r="AT106" s="2"/>
      <c r="AU106" s="3"/>
      <c r="AV106" s="3"/>
      <c r="AW106" s="3"/>
      <c r="AX106" s="3"/>
      <c r="AY106" s="3"/>
      <c r="AZ106" s="3"/>
      <c r="BA106" s="3"/>
      <c r="BB106" s="3"/>
      <c r="BC106" s="3"/>
      <c r="BD106" s="5"/>
      <c r="BE106" s="5"/>
      <c r="BF106" s="5"/>
      <c r="BG106" s="5"/>
      <c r="BH106" s="5"/>
      <c r="BI106" s="3"/>
      <c r="BJ106" s="3"/>
      <c r="BK106" s="3"/>
      <c r="BL106" s="3"/>
      <c r="BM106" s="3"/>
      <c r="BN106" s="3"/>
      <c r="BO106" s="3"/>
    </row>
    <row r="107" spans="1:67" ht="15" customHeight="1">
      <c r="A107" s="4"/>
      <c r="B107" s="3"/>
      <c r="C107" s="3"/>
      <c r="D107" s="3"/>
      <c r="E107" s="3"/>
      <c r="F107" s="3"/>
      <c r="G107" s="3"/>
      <c r="H107" s="3"/>
      <c r="I107" s="3"/>
      <c r="J107" s="3"/>
      <c r="K107" s="3"/>
      <c r="L107" s="3"/>
      <c r="M107" s="3"/>
      <c r="N107" s="3"/>
      <c r="O107" s="3"/>
      <c r="P107" s="3"/>
      <c r="Q107" s="3"/>
      <c r="R107" s="119" t="str">
        <f>VLOOKUP(1570,ls!$B:$E,$BA$2,TRUE)</f>
        <v>填写年月日</v>
      </c>
      <c r="S107" s="119"/>
      <c r="T107" s="119"/>
      <c r="U107" s="119"/>
      <c r="V107" s="119"/>
      <c r="W107" s="3"/>
      <c r="X107" s="147"/>
      <c r="Y107" s="147"/>
      <c r="Z107" s="147"/>
      <c r="AA107" s="147"/>
      <c r="AB107" s="147"/>
      <c r="AC107" s="54"/>
      <c r="AD107" s="147"/>
      <c r="AE107" s="147"/>
      <c r="AF107" s="147"/>
      <c r="AG107" s="147"/>
      <c r="AH107" s="147"/>
      <c r="AI107" s="54"/>
      <c r="AJ107" s="147"/>
      <c r="AK107" s="147"/>
      <c r="AL107" s="147"/>
      <c r="AM107" s="147"/>
      <c r="AN107" s="147"/>
      <c r="AO107" s="3"/>
      <c r="AP107" s="3"/>
      <c r="AQ107" s="3"/>
      <c r="AR107" s="2"/>
      <c r="AS107" s="2"/>
      <c r="AT107" s="2"/>
      <c r="AU107" s="148" t="str">
        <f>IF(ISERROR(DATEVALUE(X107&amp;"/"&amp;AD107&amp;"/"&amp;AJ107)),"DATE ERROR!!",DATEVALUE(X107&amp;"/"&amp;AD107&amp;"/"&amp;AJ107))</f>
        <v>DATE ERROR!!</v>
      </c>
      <c r="AV107" s="3"/>
      <c r="AW107" s="3"/>
      <c r="AX107" s="3"/>
      <c r="AY107" s="3"/>
      <c r="AZ107" s="3"/>
      <c r="BA107" s="3"/>
      <c r="BB107" s="3"/>
      <c r="BC107" s="3"/>
      <c r="BD107" s="5"/>
      <c r="BE107" s="5"/>
      <c r="BF107" s="5"/>
      <c r="BG107" s="5"/>
      <c r="BH107" s="5"/>
      <c r="BI107" s="3"/>
      <c r="BJ107" s="3"/>
      <c r="BK107" s="3"/>
      <c r="BL107" s="3"/>
      <c r="BM107" s="3"/>
      <c r="BN107" s="3"/>
      <c r="BO107" s="3"/>
    </row>
    <row r="108" spans="1:67" ht="15" customHeight="1">
      <c r="A108" s="21"/>
      <c r="B108" s="14"/>
      <c r="C108" s="14"/>
      <c r="D108" s="14"/>
      <c r="E108" s="14"/>
      <c r="F108" s="14"/>
      <c r="G108" s="14"/>
      <c r="H108" s="14"/>
      <c r="I108" s="14"/>
      <c r="J108" s="14"/>
      <c r="K108" s="14"/>
      <c r="L108" s="14"/>
      <c r="M108" s="14"/>
      <c r="N108" s="14"/>
      <c r="O108" s="14"/>
      <c r="P108" s="14"/>
      <c r="Q108" s="14"/>
      <c r="R108" s="123" t="str">
        <f>VLOOKUP(1570,ls!$B:$E,$BA$3,TRUE)</f>
        <v>Date</v>
      </c>
      <c r="S108" s="123"/>
      <c r="T108" s="123"/>
      <c r="U108" s="123"/>
      <c r="V108" s="123"/>
      <c r="W108" s="14"/>
      <c r="X108" s="124" t="str">
        <f>VLOOKUP(1060,ls!$B:$E,$BA$3,TRUE)</f>
        <v>Year</v>
      </c>
      <c r="Y108" s="124"/>
      <c r="Z108" s="124"/>
      <c r="AA108" s="124"/>
      <c r="AB108" s="124"/>
      <c r="AC108" s="14"/>
      <c r="AD108" s="124" t="str">
        <f>VLOOKUP(1070,ls!$B:$E,$BA$3,TRUE)</f>
        <v>Month</v>
      </c>
      <c r="AE108" s="124"/>
      <c r="AF108" s="124"/>
      <c r="AG108" s="124"/>
      <c r="AH108" s="124"/>
      <c r="AI108" s="14"/>
      <c r="AJ108" s="124" t="str">
        <f>VLOOKUP(1080,ls!$B:$E,$BA$3,TRUE)</f>
        <v>Day</v>
      </c>
      <c r="AK108" s="124"/>
      <c r="AL108" s="124"/>
      <c r="AM108" s="124"/>
      <c r="AN108" s="124"/>
      <c r="AO108" s="14"/>
      <c r="AP108" s="14"/>
      <c r="AQ108" s="14"/>
      <c r="AR108" s="22"/>
      <c r="AS108" s="22"/>
      <c r="AT108" s="3"/>
      <c r="AU108" s="149"/>
      <c r="AV108" s="14"/>
      <c r="AW108" s="14"/>
      <c r="AX108" s="14"/>
      <c r="AY108" s="14"/>
      <c r="AZ108" s="14"/>
      <c r="BA108" s="14"/>
      <c r="BB108" s="14"/>
      <c r="BC108" s="14"/>
      <c r="BD108" s="14"/>
      <c r="BE108" s="14"/>
      <c r="BF108" s="14"/>
      <c r="BG108" s="5"/>
      <c r="BH108" s="5"/>
      <c r="BI108" s="14"/>
      <c r="BJ108" s="14"/>
      <c r="BK108" s="14"/>
      <c r="BL108" s="14"/>
      <c r="BM108" s="14"/>
      <c r="BN108" s="14"/>
      <c r="BO108" s="14"/>
    </row>
    <row r="109" spans="1:67" ht="15" customHeight="1">
      <c r="A109" s="4"/>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2"/>
      <c r="AS109" s="2"/>
      <c r="AT109" s="3"/>
      <c r="AU109" s="3"/>
      <c r="AV109" s="3"/>
      <c r="AW109" s="3"/>
      <c r="AX109" s="3"/>
      <c r="AY109" s="3"/>
      <c r="AZ109" s="3"/>
      <c r="BA109" s="3"/>
      <c r="BB109" s="3"/>
      <c r="BC109" s="3"/>
      <c r="BD109" s="5"/>
      <c r="BE109" s="5"/>
      <c r="BF109" s="5"/>
      <c r="BG109" s="5"/>
      <c r="BH109" s="5"/>
      <c r="BI109" s="3"/>
      <c r="BJ109" s="3"/>
      <c r="BK109" s="3"/>
      <c r="BL109" s="3"/>
      <c r="BM109" s="3"/>
      <c r="BN109" s="3"/>
      <c r="BO109" s="3"/>
    </row>
    <row r="110" spans="1:67" ht="15" customHeight="1">
      <c r="A110" s="4"/>
      <c r="B110" s="3"/>
      <c r="C110" s="3"/>
      <c r="D110" s="3"/>
      <c r="E110" s="3"/>
      <c r="F110" s="3"/>
      <c r="G110" s="3"/>
      <c r="H110" s="3"/>
      <c r="I110" s="3"/>
      <c r="J110" s="3"/>
      <c r="K110" s="3"/>
      <c r="L110" s="3"/>
      <c r="M110" s="3"/>
      <c r="N110" s="3"/>
      <c r="O110" s="3"/>
      <c r="P110" s="3"/>
      <c r="Q110" s="3"/>
      <c r="R110" s="119" t="str">
        <f>VLOOKUP(1580,ls!$B:$E,$BA$2,TRUE)</f>
        <v>本人署名</v>
      </c>
      <c r="S110" s="119"/>
      <c r="T110" s="119"/>
      <c r="U110" s="119"/>
      <c r="V110" s="119"/>
      <c r="W110" s="119"/>
      <c r="X110" s="119"/>
      <c r="Y110" s="120"/>
      <c r="Z110" s="120"/>
      <c r="AA110" s="120"/>
      <c r="AB110" s="120"/>
      <c r="AC110" s="120"/>
      <c r="AD110" s="120"/>
      <c r="AE110" s="120"/>
      <c r="AF110" s="120"/>
      <c r="AG110" s="120"/>
      <c r="AH110" s="120"/>
      <c r="AI110" s="120"/>
      <c r="AJ110" s="120"/>
      <c r="AK110" s="120"/>
      <c r="AL110" s="120"/>
      <c r="AM110" s="120"/>
      <c r="AN110" s="120"/>
      <c r="AO110" s="120"/>
      <c r="AP110" s="120"/>
      <c r="AQ110" s="120"/>
      <c r="AR110" s="2"/>
      <c r="AS110" s="2"/>
      <c r="AT110" s="3"/>
      <c r="AU110" s="3"/>
      <c r="AV110" s="3"/>
      <c r="AW110" s="3"/>
      <c r="AX110" s="3"/>
      <c r="AY110" s="3"/>
      <c r="AZ110" s="3"/>
      <c r="BA110" s="3"/>
      <c r="BB110" s="3"/>
      <c r="BC110" s="3"/>
      <c r="BD110" s="5"/>
      <c r="BE110" s="5"/>
      <c r="BF110" s="5"/>
      <c r="BG110" s="5"/>
      <c r="BH110" s="5"/>
      <c r="BI110" s="3"/>
      <c r="BJ110" s="3"/>
      <c r="BK110" s="3"/>
      <c r="BL110" s="3"/>
      <c r="BM110" s="3"/>
      <c r="BN110" s="3"/>
      <c r="BO110" s="3"/>
    </row>
    <row r="111" spans="1:67" ht="15" customHeight="1">
      <c r="A111" s="4"/>
      <c r="B111" s="3"/>
      <c r="C111" s="3"/>
      <c r="D111" s="3"/>
      <c r="E111" s="3"/>
      <c r="F111" s="3"/>
      <c r="G111" s="3"/>
      <c r="H111" s="3"/>
      <c r="I111" s="3"/>
      <c r="J111" s="3"/>
      <c r="K111" s="3"/>
      <c r="L111" s="3"/>
      <c r="M111" s="3"/>
      <c r="N111" s="3"/>
      <c r="O111" s="3"/>
      <c r="P111" s="3"/>
      <c r="Q111" s="3"/>
      <c r="R111" s="123" t="str">
        <f>VLOOKUP(1580,ls!$B:$E,$BA$3,TRUE)</f>
        <v>Signature of Applicant</v>
      </c>
      <c r="S111" s="123"/>
      <c r="T111" s="123"/>
      <c r="U111" s="123"/>
      <c r="V111" s="123"/>
      <c r="W111" s="123"/>
      <c r="X111" s="123"/>
      <c r="Y111" s="137"/>
      <c r="Z111" s="137"/>
      <c r="AA111" s="137"/>
      <c r="AB111" s="137"/>
      <c r="AC111" s="137"/>
      <c r="AD111" s="137"/>
      <c r="AE111" s="137"/>
      <c r="AF111" s="137"/>
      <c r="AG111" s="137"/>
      <c r="AH111" s="137"/>
      <c r="AI111" s="137"/>
      <c r="AJ111" s="137"/>
      <c r="AK111" s="137"/>
      <c r="AL111" s="137"/>
      <c r="AM111" s="137"/>
      <c r="AN111" s="137"/>
      <c r="AO111" s="137"/>
      <c r="AP111" s="137"/>
      <c r="AQ111" s="137"/>
      <c r="AR111" s="2"/>
      <c r="AS111" s="2"/>
      <c r="AT111" s="3"/>
      <c r="AU111" s="3"/>
      <c r="AV111" s="3"/>
      <c r="AW111" s="3"/>
      <c r="AX111" s="3"/>
      <c r="AY111" s="3"/>
      <c r="AZ111" s="3"/>
      <c r="BA111" s="3"/>
      <c r="BB111" s="3"/>
      <c r="BC111" s="3"/>
      <c r="BD111" s="5"/>
      <c r="BE111" s="5"/>
      <c r="BF111" s="5"/>
      <c r="BG111" s="5"/>
      <c r="BH111" s="5"/>
      <c r="BI111" s="3"/>
      <c r="BJ111" s="3"/>
      <c r="BK111" s="3"/>
      <c r="BL111" s="3"/>
      <c r="BM111" s="3"/>
      <c r="BN111" s="3"/>
      <c r="BO111" s="3"/>
    </row>
    <row r="112" spans="1:67" ht="15" customHeight="1">
      <c r="A112" s="55"/>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3"/>
      <c r="Z112" s="3"/>
      <c r="AA112" s="3"/>
      <c r="AB112" s="3"/>
      <c r="AC112" s="3"/>
      <c r="AD112" s="3"/>
      <c r="AE112" s="3"/>
      <c r="AF112" s="3"/>
      <c r="AG112" s="3"/>
      <c r="AH112" s="3"/>
      <c r="AI112" s="3"/>
      <c r="AJ112" s="3"/>
      <c r="AK112" s="3"/>
      <c r="AL112" s="3"/>
      <c r="AM112" s="3"/>
      <c r="AN112" s="3"/>
      <c r="AO112" s="3"/>
      <c r="AP112" s="3"/>
      <c r="AQ112" s="3"/>
      <c r="AR112" s="2"/>
      <c r="AS112" s="2"/>
      <c r="AT112" s="3"/>
      <c r="AU112" s="3"/>
      <c r="AV112" s="3"/>
      <c r="AW112" s="3"/>
      <c r="AX112" s="3"/>
      <c r="AY112" s="3"/>
      <c r="AZ112" s="3"/>
      <c r="BA112" s="3"/>
      <c r="BB112" s="3"/>
      <c r="BC112" s="3"/>
      <c r="BD112" s="5"/>
      <c r="BE112" s="5"/>
      <c r="BF112" s="5"/>
      <c r="BG112" s="5"/>
      <c r="BH112" s="5"/>
      <c r="BI112" s="3"/>
      <c r="BJ112" s="3"/>
      <c r="BK112" s="3"/>
      <c r="BL112" s="3"/>
      <c r="BM112" s="3"/>
      <c r="BN112" s="3"/>
      <c r="BO112" s="3"/>
    </row>
  </sheetData>
  <sheetProtection algorithmName="SHA-512" hashValue="kMR8dHlv9xi9RvApd+KjhYVO5+0PcqEYb8im/FxCTez2LiJrmKiFt/houKmRF4hNVp0iF/y5UIH5ognvwo7cJA==" saltValue="J5oBU/nV5dWgi/unrLalyQ==" spinCount="100000" sheet="1" formatCells="0" selectLockedCells="1"/>
  <mergeCells count="347">
    <mergeCell ref="R110:X110"/>
    <mergeCell ref="Y110:AQ111"/>
    <mergeCell ref="R111:X111"/>
    <mergeCell ref="R107:V107"/>
    <mergeCell ref="X107:AB107"/>
    <mergeCell ref="AD107:AH107"/>
    <mergeCell ref="AJ107:AN107"/>
    <mergeCell ref="AU107:AU108"/>
    <mergeCell ref="R108:V108"/>
    <mergeCell ref="X108:AB108"/>
    <mergeCell ref="AD108:AH108"/>
    <mergeCell ref="AJ108:AN108"/>
    <mergeCell ref="D104:L104"/>
    <mergeCell ref="M104:AB104"/>
    <mergeCell ref="AC104:AP104"/>
    <mergeCell ref="E105:K105"/>
    <mergeCell ref="L105:W105"/>
    <mergeCell ref="X105:AP105"/>
    <mergeCell ref="G97:H97"/>
    <mergeCell ref="I97:N97"/>
    <mergeCell ref="O97:AQ98"/>
    <mergeCell ref="I98:N98"/>
    <mergeCell ref="D100:E101"/>
    <mergeCell ref="F100:F101"/>
    <mergeCell ref="G100:N100"/>
    <mergeCell ref="O100:AQ101"/>
    <mergeCell ref="G101:N101"/>
    <mergeCell ref="C74:D74"/>
    <mergeCell ref="E74:F74"/>
    <mergeCell ref="H74:I74"/>
    <mergeCell ref="K74:L74"/>
    <mergeCell ref="N74:O74"/>
    <mergeCell ref="Q74:R74"/>
    <mergeCell ref="T74:U74"/>
    <mergeCell ref="W74:AD74"/>
    <mergeCell ref="D94:E95"/>
    <mergeCell ref="F94:F95"/>
    <mergeCell ref="G94:H94"/>
    <mergeCell ref="I94:N94"/>
    <mergeCell ref="O94:AQ95"/>
    <mergeCell ref="I95:N95"/>
    <mergeCell ref="AF74:AQ74"/>
    <mergeCell ref="C76:AA76"/>
    <mergeCell ref="C77:AA77"/>
    <mergeCell ref="C78:AQ89"/>
    <mergeCell ref="C91:AA91"/>
    <mergeCell ref="C92:AA92"/>
    <mergeCell ref="C73:D73"/>
    <mergeCell ref="E73:F73"/>
    <mergeCell ref="H73:I73"/>
    <mergeCell ref="K73:L73"/>
    <mergeCell ref="N73:O73"/>
    <mergeCell ref="Q73:R73"/>
    <mergeCell ref="T73:U73"/>
    <mergeCell ref="W73:AD73"/>
    <mergeCell ref="AF73:AQ73"/>
    <mergeCell ref="E71:L71"/>
    <mergeCell ref="N71:U71"/>
    <mergeCell ref="W71:AD71"/>
    <mergeCell ref="AF71:AQ71"/>
    <mergeCell ref="C72:D72"/>
    <mergeCell ref="E72:F72"/>
    <mergeCell ref="H72:I72"/>
    <mergeCell ref="K72:L72"/>
    <mergeCell ref="N72:O72"/>
    <mergeCell ref="Q72:R72"/>
    <mergeCell ref="T72:U72"/>
    <mergeCell ref="W72:AD72"/>
    <mergeCell ref="AF72:AQ72"/>
    <mergeCell ref="C68:AA68"/>
    <mergeCell ref="C69:AA69"/>
    <mergeCell ref="E70:L70"/>
    <mergeCell ref="N70:U70"/>
    <mergeCell ref="W70:AD70"/>
    <mergeCell ref="AF70:AQ70"/>
    <mergeCell ref="AP65:AQ65"/>
    <mergeCell ref="C66:D66"/>
    <mergeCell ref="E66:N66"/>
    <mergeCell ref="P66:AE66"/>
    <mergeCell ref="AG66:AH66"/>
    <mergeCell ref="AJ66:AK66"/>
    <mergeCell ref="AM66:AN66"/>
    <mergeCell ref="AP66:AQ66"/>
    <mergeCell ref="C65:D65"/>
    <mergeCell ref="E65:N65"/>
    <mergeCell ref="P65:AE65"/>
    <mergeCell ref="AG65:AH65"/>
    <mergeCell ref="AJ65:AK65"/>
    <mergeCell ref="AM65:AN65"/>
    <mergeCell ref="AP63:AQ63"/>
    <mergeCell ref="C64:D64"/>
    <mergeCell ref="E64:N64"/>
    <mergeCell ref="P64:AE64"/>
    <mergeCell ref="AG64:AH64"/>
    <mergeCell ref="AJ64:AK64"/>
    <mergeCell ref="AM64:AN64"/>
    <mergeCell ref="AP64:AQ64"/>
    <mergeCell ref="E62:N62"/>
    <mergeCell ref="P62:AE62"/>
    <mergeCell ref="AG62:AK62"/>
    <mergeCell ref="AM62:AQ62"/>
    <mergeCell ref="C63:D63"/>
    <mergeCell ref="E63:N63"/>
    <mergeCell ref="P63:AE63"/>
    <mergeCell ref="AG63:AH63"/>
    <mergeCell ref="AJ63:AK63"/>
    <mergeCell ref="AM63:AN63"/>
    <mergeCell ref="AP57:AQ57"/>
    <mergeCell ref="AS57:AU57"/>
    <mergeCell ref="C59:AA59"/>
    <mergeCell ref="C60:AA60"/>
    <mergeCell ref="E61:N61"/>
    <mergeCell ref="P61:AE61"/>
    <mergeCell ref="AG61:AK61"/>
    <mergeCell ref="AM61:AQ61"/>
    <mergeCell ref="C57:D57"/>
    <mergeCell ref="E57:N57"/>
    <mergeCell ref="P57:AE57"/>
    <mergeCell ref="AG57:AH57"/>
    <mergeCell ref="AJ57:AK57"/>
    <mergeCell ref="AM57:AN57"/>
    <mergeCell ref="AP55:AQ55"/>
    <mergeCell ref="AS55:AU55"/>
    <mergeCell ref="C56:D56"/>
    <mergeCell ref="E56:N56"/>
    <mergeCell ref="P56:AE56"/>
    <mergeCell ref="AG56:AH56"/>
    <mergeCell ref="AJ56:AK56"/>
    <mergeCell ref="AM56:AN56"/>
    <mergeCell ref="AP56:AQ56"/>
    <mergeCell ref="AS56:AU56"/>
    <mergeCell ref="C55:D55"/>
    <mergeCell ref="E55:N55"/>
    <mergeCell ref="P55:AE55"/>
    <mergeCell ref="AG55:AH55"/>
    <mergeCell ref="AJ55:AK55"/>
    <mergeCell ref="AM55:AN55"/>
    <mergeCell ref="AS53:AU53"/>
    <mergeCell ref="C54:D54"/>
    <mergeCell ref="E54:N54"/>
    <mergeCell ref="P54:AE54"/>
    <mergeCell ref="AG54:AH54"/>
    <mergeCell ref="AJ54:AK54"/>
    <mergeCell ref="AM54:AN54"/>
    <mergeCell ref="AP54:AQ54"/>
    <mergeCell ref="AS54:AU54"/>
    <mergeCell ref="E52:N52"/>
    <mergeCell ref="P52:AE52"/>
    <mergeCell ref="AG52:AK52"/>
    <mergeCell ref="AM52:AQ52"/>
    <mergeCell ref="C53:D53"/>
    <mergeCell ref="E53:N53"/>
    <mergeCell ref="P53:AE53"/>
    <mergeCell ref="AG53:AH53"/>
    <mergeCell ref="AJ53:AK53"/>
    <mergeCell ref="AM53:AN53"/>
    <mergeCell ref="AP53:AQ53"/>
    <mergeCell ref="C48:AA48"/>
    <mergeCell ref="C49:AA49"/>
    <mergeCell ref="AG49:AQ49"/>
    <mergeCell ref="AG50:AQ50"/>
    <mergeCell ref="E51:N51"/>
    <mergeCell ref="P51:AE51"/>
    <mergeCell ref="AG51:AK51"/>
    <mergeCell ref="AM51:AQ51"/>
    <mergeCell ref="AP45:AQ45"/>
    <mergeCell ref="C46:D46"/>
    <mergeCell ref="E46:N46"/>
    <mergeCell ref="P46:AE46"/>
    <mergeCell ref="AG46:AH46"/>
    <mergeCell ref="AJ46:AK46"/>
    <mergeCell ref="AM46:AN46"/>
    <mergeCell ref="AP46:AQ46"/>
    <mergeCell ref="C45:D45"/>
    <mergeCell ref="E45:N45"/>
    <mergeCell ref="P45:AE45"/>
    <mergeCell ref="AG45:AH45"/>
    <mergeCell ref="AJ45:AK45"/>
    <mergeCell ref="AM45:AN45"/>
    <mergeCell ref="C42:D42"/>
    <mergeCell ref="E42:N42"/>
    <mergeCell ref="P42:AE42"/>
    <mergeCell ref="AG42:AH42"/>
    <mergeCell ref="AJ42:AK42"/>
    <mergeCell ref="AM42:AN42"/>
    <mergeCell ref="AP42:AQ42"/>
    <mergeCell ref="AP43:AQ43"/>
    <mergeCell ref="C44:D44"/>
    <mergeCell ref="E44:N44"/>
    <mergeCell ref="P44:AE44"/>
    <mergeCell ref="AG44:AH44"/>
    <mergeCell ref="AJ44:AK44"/>
    <mergeCell ref="AM44:AN44"/>
    <mergeCell ref="AP44:AQ44"/>
    <mergeCell ref="C43:D43"/>
    <mergeCell ref="E43:N43"/>
    <mergeCell ref="P43:AE43"/>
    <mergeCell ref="AG43:AH43"/>
    <mergeCell ref="AJ43:AK43"/>
    <mergeCell ref="AM43:AN43"/>
    <mergeCell ref="AU39:AW39"/>
    <mergeCell ref="E40:N40"/>
    <mergeCell ref="P40:AE40"/>
    <mergeCell ref="AG40:AK40"/>
    <mergeCell ref="AM40:AQ40"/>
    <mergeCell ref="C41:D41"/>
    <mergeCell ref="E41:N41"/>
    <mergeCell ref="P41:AE41"/>
    <mergeCell ref="AG41:AH41"/>
    <mergeCell ref="AJ41:AK41"/>
    <mergeCell ref="AM41:AN41"/>
    <mergeCell ref="AP41:AQ41"/>
    <mergeCell ref="AR35:AT35"/>
    <mergeCell ref="C36:AA36"/>
    <mergeCell ref="C37:AA37"/>
    <mergeCell ref="AG37:AQ37"/>
    <mergeCell ref="AG38:AQ38"/>
    <mergeCell ref="E39:N39"/>
    <mergeCell ref="P39:AE39"/>
    <mergeCell ref="AG39:AK39"/>
    <mergeCell ref="AM39:AQ39"/>
    <mergeCell ref="E34:G34"/>
    <mergeCell ref="I34:K34"/>
    <mergeCell ref="M34:N34"/>
    <mergeCell ref="P34:S34"/>
    <mergeCell ref="U34:Y34"/>
    <mergeCell ref="Z34:AP34"/>
    <mergeCell ref="Z32:AP32"/>
    <mergeCell ref="C33:D33"/>
    <mergeCell ref="E33:K33"/>
    <mergeCell ref="M33:S33"/>
    <mergeCell ref="U33:AK33"/>
    <mergeCell ref="AM33:AQ33"/>
    <mergeCell ref="C31:D31"/>
    <mergeCell ref="E31:K31"/>
    <mergeCell ref="M31:S31"/>
    <mergeCell ref="U31:AK31"/>
    <mergeCell ref="AM31:AQ31"/>
    <mergeCell ref="E32:G32"/>
    <mergeCell ref="I32:K32"/>
    <mergeCell ref="M32:N32"/>
    <mergeCell ref="P32:S32"/>
    <mergeCell ref="U32:Y32"/>
    <mergeCell ref="E30:G30"/>
    <mergeCell ref="I30:K30"/>
    <mergeCell ref="M30:N30"/>
    <mergeCell ref="P30:S30"/>
    <mergeCell ref="U30:Y30"/>
    <mergeCell ref="Z30:AP30"/>
    <mergeCell ref="Z28:AP28"/>
    <mergeCell ref="AR28:AS28"/>
    <mergeCell ref="C29:D29"/>
    <mergeCell ref="E29:K29"/>
    <mergeCell ref="M29:S29"/>
    <mergeCell ref="U29:AK29"/>
    <mergeCell ref="AM29:AQ29"/>
    <mergeCell ref="AR29:AS29"/>
    <mergeCell ref="C27:D27"/>
    <mergeCell ref="E27:K27"/>
    <mergeCell ref="M27:S27"/>
    <mergeCell ref="U27:AK27"/>
    <mergeCell ref="AM27:AQ27"/>
    <mergeCell ref="E28:G28"/>
    <mergeCell ref="I28:K28"/>
    <mergeCell ref="M28:N28"/>
    <mergeCell ref="P28:S28"/>
    <mergeCell ref="U28:Y28"/>
    <mergeCell ref="E26:G26"/>
    <mergeCell ref="I26:K26"/>
    <mergeCell ref="M26:N26"/>
    <mergeCell ref="P26:S26"/>
    <mergeCell ref="U26:Y26"/>
    <mergeCell ref="Z26:AP26"/>
    <mergeCell ref="BD23:BH23"/>
    <mergeCell ref="E24:G24"/>
    <mergeCell ref="I24:K24"/>
    <mergeCell ref="M24:N24"/>
    <mergeCell ref="P24:S24"/>
    <mergeCell ref="AR23:AS24"/>
    <mergeCell ref="C25:D25"/>
    <mergeCell ref="E25:K25"/>
    <mergeCell ref="M25:S25"/>
    <mergeCell ref="U25:AK25"/>
    <mergeCell ref="AM25:AQ25"/>
    <mergeCell ref="E23:G23"/>
    <mergeCell ref="I23:K23"/>
    <mergeCell ref="M23:N23"/>
    <mergeCell ref="P23:S23"/>
    <mergeCell ref="Z23:AQ24"/>
    <mergeCell ref="AR21:AS22"/>
    <mergeCell ref="BD21:BH21"/>
    <mergeCell ref="E22:K22"/>
    <mergeCell ref="M22:S22"/>
    <mergeCell ref="AM22:AQ22"/>
    <mergeCell ref="BD22:BH22"/>
    <mergeCell ref="C20:E20"/>
    <mergeCell ref="C21:D21"/>
    <mergeCell ref="E21:K21"/>
    <mergeCell ref="M21:S21"/>
    <mergeCell ref="U21:AK22"/>
    <mergeCell ref="AM21:AQ21"/>
    <mergeCell ref="AM15:AP15"/>
    <mergeCell ref="M16:AA16"/>
    <mergeCell ref="C17:F17"/>
    <mergeCell ref="I17:N18"/>
    <mergeCell ref="S17:X17"/>
    <mergeCell ref="Y17:AP17"/>
    <mergeCell ref="C18:F18"/>
    <mergeCell ref="S18:X18"/>
    <mergeCell ref="C14:F14"/>
    <mergeCell ref="G14:AB14"/>
    <mergeCell ref="AD14:AG14"/>
    <mergeCell ref="AH14:AK14"/>
    <mergeCell ref="AM14:AP14"/>
    <mergeCell ref="C15:F15"/>
    <mergeCell ref="G15:K15"/>
    <mergeCell ref="L15:AA15"/>
    <mergeCell ref="AD15:AG15"/>
    <mergeCell ref="AH15:AK15"/>
    <mergeCell ref="R11:S11"/>
    <mergeCell ref="X11:Z11"/>
    <mergeCell ref="AA11:AL12"/>
    <mergeCell ref="C12:F12"/>
    <mergeCell ref="G12:I12"/>
    <mergeCell ref="L12:M12"/>
    <mergeCell ref="P12:Q12"/>
    <mergeCell ref="X12:Z12"/>
    <mergeCell ref="C9:F9"/>
    <mergeCell ref="X9:Z9"/>
    <mergeCell ref="AA9:AF9"/>
    <mergeCell ref="AH9:AP9"/>
    <mergeCell ref="C11:F11"/>
    <mergeCell ref="G11:I11"/>
    <mergeCell ref="J11:K11"/>
    <mergeCell ref="L11:M11"/>
    <mergeCell ref="N11:O11"/>
    <mergeCell ref="P11:Q11"/>
    <mergeCell ref="A1:P1"/>
    <mergeCell ref="X1:AQ1"/>
    <mergeCell ref="A3:AQ4"/>
    <mergeCell ref="A5:AQ5"/>
    <mergeCell ref="AU5:AW5"/>
    <mergeCell ref="G7:S8"/>
    <mergeCell ref="AA7:AF8"/>
    <mergeCell ref="AH7:AP8"/>
    <mergeCell ref="C8:F8"/>
    <mergeCell ref="X8:Z8"/>
  </mergeCells>
  <phoneticPr fontId="3"/>
  <conditionalFormatting sqref="BL19:BM39">
    <cfRule type="expression" dxfId="9" priority="2" stopIfTrue="1">
      <formula>(ROW()-41)=#REF!</formula>
    </cfRule>
  </conditionalFormatting>
  <conditionalFormatting sqref="AU107">
    <cfRule type="containsText" dxfId="8" priority="1" operator="containsText" text="ERR">
      <formula>NOT(ISERROR(SEARCH("ERR",AU107)))</formula>
    </cfRule>
  </conditionalFormatting>
  <dataValidations count="9">
    <dataValidation type="whole" allowBlank="1" showInputMessage="1" showErrorMessage="1" sqref="G11:I11" xr:uid="{7B0D5BF6-7762-457B-A583-ECDE002EF224}">
      <formula1>1900</formula1>
      <formula2>9999</formula2>
    </dataValidation>
    <dataValidation type="list" allowBlank="1" showInputMessage="1" showErrorMessage="1" sqref="M34:N34 M32:N32 M30:N30 M28:N28 M26:N26" xr:uid="{2CEC1E4E-2128-4F32-B3C7-B469EEBE2182}">
      <formula1>$BE$11:$BE$12</formula1>
    </dataValidation>
    <dataValidation type="list" allowBlank="1" showInputMessage="1" sqref="I26:K26 I28:K28 I30:K30 I32:K32 I34:K34" xr:uid="{258E9947-B1FD-4F95-A931-BC80D60FCF67}">
      <formula1>$BE$26:$BE$27</formula1>
    </dataValidation>
    <dataValidation type="whole" allowBlank="1" showInputMessage="1" showErrorMessage="1" sqref="AJ107:AN107 P11:Q11" xr:uid="{20D3FA77-E32C-40A6-806F-2DE9F2CFE963}">
      <formula1>1</formula1>
      <formula2>31</formula2>
    </dataValidation>
    <dataValidation type="whole" allowBlank="1" showInputMessage="1" showErrorMessage="1" sqref="AD107:AH107 L11:M11" xr:uid="{AB3CE74F-51D6-4703-8E9A-A52ABD2C39E0}">
      <formula1>1</formula1>
      <formula2>12</formula2>
    </dataValidation>
    <dataValidation type="whole" allowBlank="1" showInputMessage="1" showErrorMessage="1" sqref="X107:AB107" xr:uid="{D9E89F7A-97EE-484F-AFC9-5C7822D04312}">
      <formula1>2018</formula1>
      <formula2>9999</formula2>
    </dataValidation>
    <dataValidation type="list" errorStyle="warning" allowBlank="1" showInputMessage="1" showErrorMessage="1" sqref="P32:S32 P34:S34 P30:S30" xr:uid="{C0790567-47AB-4EC7-BF3D-2F51AAC913C0}">
      <formula1>$BL$21:$BL$38</formula1>
    </dataValidation>
    <dataValidation type="list" allowBlank="1" showInputMessage="1" showErrorMessage="1" sqref="AR27" xr:uid="{DFEA93AA-5B0A-43D3-B19D-35BCC6E1E19E}">
      <formula1>"　,○"</formula1>
    </dataValidation>
    <dataValidation type="whole" allowBlank="1" showInputMessage="1" showErrorMessage="1" sqref="AR53:AR57" xr:uid="{D7B9EDD0-E2FF-419F-9971-D04F30FBF260}">
      <formula1>0</formula1>
      <formula2>9999</formula2>
    </dataValidation>
  </dataValidations>
  <pageMargins left="0.59" right="0.59" top="0.59" bottom="0.59" header="0" footer="0"/>
  <pageSetup paperSize="9" fitToHeight="2" orientation="portrait" blackAndWhite="1" r:id="rId1"/>
  <headerFooter scaleWithDoc="0">
    <oddHeader xml:space="preserve">&amp;L
</oddHeader>
  </headerFooter>
  <rowBreaks count="1" manualBreakCount="1">
    <brk id="57"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リスト 169">
              <controlPr defaultSize="0" autoLine="0" autoPict="0">
                <anchor moveWithCells="1">
                  <from>
                    <xdr:col>46</xdr:col>
                    <xdr:colOff>0</xdr:colOff>
                    <xdr:row>9</xdr:row>
                    <xdr:rowOff>0</xdr:rowOff>
                  </from>
                  <to>
                    <xdr:col>49</xdr:col>
                    <xdr:colOff>0</xdr:colOff>
                    <xdr:row>12</xdr:row>
                    <xdr:rowOff>66675</xdr:rowOff>
                  </to>
                </anchor>
              </controlPr>
            </control>
          </mc:Choice>
        </mc:AlternateContent>
        <mc:AlternateContent xmlns:mc="http://schemas.openxmlformats.org/markup-compatibility/2006">
          <mc:Choice Requires="x14">
            <control shapeId="1026" r:id="rId5" name="リスト 170">
              <controlPr defaultSize="0" autoLine="0" autoPict="0">
                <anchor moveWithCells="1">
                  <from>
                    <xdr:col>46</xdr:col>
                    <xdr:colOff>0</xdr:colOff>
                    <xdr:row>15</xdr:row>
                    <xdr:rowOff>0</xdr:rowOff>
                  </from>
                  <to>
                    <xdr:col>49</xdr:col>
                    <xdr:colOff>0</xdr:colOff>
                    <xdr:row>18</xdr:row>
                    <xdr:rowOff>0</xdr:rowOff>
                  </to>
                </anchor>
              </controlPr>
            </control>
          </mc:Choice>
        </mc:AlternateContent>
        <mc:AlternateContent xmlns:mc="http://schemas.openxmlformats.org/markup-compatibility/2006">
          <mc:Choice Requires="x14">
            <control shapeId="1027" r:id="rId6" name="ドロップ 172">
              <controlPr defaultSize="0" autoLine="0" autoPict="0">
                <anchor moveWithCells="1">
                  <from>
                    <xdr:col>47</xdr:col>
                    <xdr:colOff>0</xdr:colOff>
                    <xdr:row>1</xdr:row>
                    <xdr:rowOff>0</xdr:rowOff>
                  </from>
                  <to>
                    <xdr:col>49</xdr:col>
                    <xdr:colOff>0</xdr:colOff>
                    <xdr:row>2</xdr:row>
                    <xdr:rowOff>0</xdr:rowOff>
                  </to>
                </anchor>
              </controlPr>
            </control>
          </mc:Choice>
        </mc:AlternateContent>
        <mc:AlternateContent xmlns:mc="http://schemas.openxmlformats.org/markup-compatibility/2006">
          <mc:Choice Requires="x14">
            <control shapeId="1028" r:id="rId7" name="ドロップ 173">
              <controlPr defaultSize="0" autoLine="0" autoPict="0">
                <anchor moveWithCells="1">
                  <from>
                    <xdr:col>47</xdr:col>
                    <xdr:colOff>0</xdr:colOff>
                    <xdr:row>2</xdr:row>
                    <xdr:rowOff>0</xdr:rowOff>
                  </from>
                  <to>
                    <xdr:col>49</xdr:col>
                    <xdr:colOff>0</xdr:colOff>
                    <xdr:row>3</xdr:row>
                    <xdr:rowOff>0</xdr:rowOff>
                  </to>
                </anchor>
              </controlPr>
            </control>
          </mc:Choice>
        </mc:AlternateContent>
        <mc:AlternateContent xmlns:mc="http://schemas.openxmlformats.org/markup-compatibility/2006">
          <mc:Choice Requires="x14">
            <control shapeId="1029" r:id="rId8" name="リスト 174">
              <controlPr defaultSize="0" autoLine="0" autoPict="0">
                <anchor moveWithCells="1">
                  <from>
                    <xdr:col>46</xdr:col>
                    <xdr:colOff>0</xdr:colOff>
                    <xdr:row>39</xdr:row>
                    <xdr:rowOff>0</xdr:rowOff>
                  </from>
                  <to>
                    <xdr:col>49</xdr:col>
                    <xdr:colOff>0</xdr:colOff>
                    <xdr:row>45</xdr:row>
                    <xdr:rowOff>0</xdr:rowOff>
                  </to>
                </anchor>
              </controlPr>
            </control>
          </mc:Choice>
        </mc:AlternateContent>
        <mc:AlternateContent xmlns:mc="http://schemas.openxmlformats.org/markup-compatibility/2006">
          <mc:Choice Requires="x14">
            <control shapeId="1030" r:id="rId9" name="リスト 175">
              <controlPr defaultSize="0" autoLine="0" autoPict="0">
                <anchor moveWithCells="1">
                  <from>
                    <xdr:col>46</xdr:col>
                    <xdr:colOff>0</xdr:colOff>
                    <xdr:row>93</xdr:row>
                    <xdr:rowOff>0</xdr:rowOff>
                  </from>
                  <to>
                    <xdr:col>49</xdr:col>
                    <xdr:colOff>0</xdr:colOff>
                    <xdr:row>99</xdr:row>
                    <xdr:rowOff>0</xdr:rowOff>
                  </to>
                </anchor>
              </controlPr>
            </control>
          </mc:Choice>
        </mc:AlternateContent>
        <mc:AlternateContent xmlns:mc="http://schemas.openxmlformats.org/markup-compatibility/2006">
          <mc:Choice Requires="x14">
            <control shapeId="1031" r:id="rId10" name="ドロップ 176">
              <controlPr defaultSize="0" autoLine="0" autoPict="0">
                <anchor moveWithCells="1">
                  <from>
                    <xdr:col>43</xdr:col>
                    <xdr:colOff>561975</xdr:colOff>
                    <xdr:row>5</xdr:row>
                    <xdr:rowOff>0</xdr:rowOff>
                  </from>
                  <to>
                    <xdr:col>55</xdr:col>
                    <xdr:colOff>0</xdr:colOff>
                    <xdr:row>6</xdr:row>
                    <xdr:rowOff>0</xdr:rowOff>
                  </to>
                </anchor>
              </controlPr>
            </control>
          </mc:Choice>
        </mc:AlternateContent>
        <mc:AlternateContent xmlns:mc="http://schemas.openxmlformats.org/markup-compatibility/2006">
          <mc:Choice Requires="x14">
            <control shapeId="1032" r:id="rId11" name="List Box 84">
              <controlPr defaultSize="0" autoLine="0" autoPict="0">
                <anchor moveWithCells="1">
                  <from>
                    <xdr:col>45</xdr:col>
                    <xdr:colOff>152400</xdr:colOff>
                    <xdr:row>20</xdr:row>
                    <xdr:rowOff>0</xdr:rowOff>
                  </from>
                  <to>
                    <xdr:col>47</xdr:col>
                    <xdr:colOff>0</xdr:colOff>
                    <xdr:row>34</xdr:row>
                    <xdr:rowOff>0</xdr:rowOff>
                  </to>
                </anchor>
              </controlPr>
            </control>
          </mc:Choice>
        </mc:AlternateContent>
        <mc:AlternateContent xmlns:mc="http://schemas.openxmlformats.org/markup-compatibility/2006">
          <mc:Choice Requires="x14">
            <control shapeId="1033" r:id="rId12" name="List Box 182">
              <controlPr defaultSize="0" autoLine="0" autoPict="0">
                <anchor moveWithCells="1">
                  <from>
                    <xdr:col>48</xdr:col>
                    <xdr:colOff>0</xdr:colOff>
                    <xdr:row>20</xdr:row>
                    <xdr:rowOff>0</xdr:rowOff>
                  </from>
                  <to>
                    <xdr:col>49</xdr:col>
                    <xdr:colOff>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04F5B-6894-48BE-BD08-22437ABC8BF7}">
  <sheetPr codeName="Sheet3">
    <pageSetUpPr fitToPage="1"/>
  </sheetPr>
  <dimension ref="A1:BG64"/>
  <sheetViews>
    <sheetView topLeftCell="A13" zoomScaleNormal="100" workbookViewId="0">
      <selection activeCell="AA44" sqref="AA44:AI44"/>
    </sheetView>
  </sheetViews>
  <sheetFormatPr defaultColWidth="2" defaultRowHeight="15" customHeight="1"/>
  <cols>
    <col min="1" max="26" width="2" customWidth="1"/>
    <col min="44" max="44" width="2" customWidth="1"/>
    <col min="45" max="45" width="2.5" customWidth="1"/>
    <col min="46" max="46" width="30.625" customWidth="1"/>
    <col min="47" max="47" width="2.5" customWidth="1"/>
    <col min="48" max="48" width="2.625" customWidth="1"/>
    <col min="49" max="52" width="2.5" customWidth="1"/>
    <col min="53" max="53" width="3.75" customWidth="1"/>
    <col min="54" max="54" width="11.75" customWidth="1"/>
    <col min="57" max="57" width="3.25" bestFit="1" customWidth="1"/>
    <col min="58" max="58" width="5.5" bestFit="1" customWidth="1"/>
    <col min="59" max="59" width="17.25" bestFit="1" customWidth="1"/>
    <col min="60" max="60" width="23.875" bestFit="1" customWidth="1"/>
    <col min="61" max="61" width="5" bestFit="1" customWidth="1"/>
  </cols>
  <sheetData>
    <row r="1" spans="1:54" ht="15" customHeight="1">
      <c r="A1" s="114" t="str">
        <f>VLOOKUP(2000,ls!$B:$E,$BA$2,TRUE)</f>
        <v>经费支付书</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2"/>
      <c r="AS1" s="2"/>
      <c r="AT1" s="19"/>
      <c r="AU1" s="2"/>
      <c r="AX1" s="2"/>
      <c r="BA1" s="2" t="s">
        <v>38</v>
      </c>
      <c r="BB1" s="2"/>
    </row>
    <row r="2" spans="1:54" ht="15" customHeight="1">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2"/>
      <c r="AS2" s="2"/>
      <c r="AT2" s="2"/>
      <c r="AU2" s="2"/>
      <c r="AX2" s="2"/>
      <c r="BA2" s="57">
        <f>Resume!BA2</f>
        <v>4</v>
      </c>
      <c r="BB2" s="10" t="str">
        <f>Resume!BB2</f>
        <v>中文</v>
      </c>
    </row>
    <row r="3" spans="1:54" ht="14.25" customHeight="1">
      <c r="A3" s="115" t="str">
        <f>VLOOKUP(2000,ls!$B:$E,$BA$3,TRUE)</f>
        <v>Statement of Financial Support</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2"/>
      <c r="AS3" s="2"/>
      <c r="AT3" s="2"/>
      <c r="AU3" s="2"/>
      <c r="AX3" s="2"/>
      <c r="BA3" s="57">
        <f>Resume!BA3</f>
        <v>3</v>
      </c>
      <c r="BB3" s="10" t="str">
        <f>Resume!BB3</f>
        <v>English</v>
      </c>
    </row>
    <row r="4" spans="1:54" ht="15" customHeight="1">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2"/>
      <c r="AS4" s="2"/>
      <c r="AT4" s="2"/>
      <c r="AU4" s="2"/>
      <c r="AX4" s="2"/>
      <c r="BA4" s="3"/>
      <c r="BB4" s="3"/>
    </row>
    <row r="5" spans="1:54" ht="15" customHeight="1">
      <c r="A5" s="151" t="str">
        <f>VLOOKUP(2010,ls!$B:$E,$BA$2,TRUE)</f>
        <v>日本国法務大臣　殿</v>
      </c>
      <c r="B5" s="151"/>
      <c r="C5" s="151"/>
      <c r="D5" s="151"/>
      <c r="E5" s="151"/>
      <c r="F5" s="151"/>
      <c r="G5" s="151"/>
      <c r="H5" s="151"/>
      <c r="I5" s="151"/>
      <c r="J5" s="151"/>
      <c r="K5" s="151"/>
      <c r="L5" s="151"/>
      <c r="M5" s="59"/>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X5" s="2"/>
      <c r="BA5" s="3"/>
      <c r="BB5" s="3"/>
    </row>
    <row r="6" spans="1:54" ht="15" customHeight="1">
      <c r="A6" s="151"/>
      <c r="B6" s="151"/>
      <c r="C6" s="151"/>
      <c r="D6" s="151"/>
      <c r="E6" s="151"/>
      <c r="F6" s="151"/>
      <c r="G6" s="151"/>
      <c r="H6" s="151"/>
      <c r="I6" s="151"/>
      <c r="J6" s="151"/>
      <c r="K6" s="151"/>
      <c r="L6" s="151"/>
      <c r="M6" s="59"/>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X6" s="2"/>
      <c r="BA6" s="57">
        <f>Resume!BA7</f>
        <v>2</v>
      </c>
      <c r="BB6" s="10" t="str">
        <f>Resume!BB7</f>
        <v>東京学士学院</v>
      </c>
    </row>
    <row r="7" spans="1:54" ht="15" customHeight="1">
      <c r="A7" s="123" t="str">
        <f>VLOOKUP(2010,ls!$B:$E,$BA$3,TRUE)</f>
        <v>Minister of Justice in Japan</v>
      </c>
      <c r="B7" s="123"/>
      <c r="C7" s="123"/>
      <c r="D7" s="123"/>
      <c r="E7" s="123"/>
      <c r="F7" s="123"/>
      <c r="G7" s="123"/>
      <c r="H7" s="123"/>
      <c r="I7" s="123"/>
      <c r="J7" s="123"/>
      <c r="K7" s="123"/>
      <c r="L7" s="123"/>
      <c r="M7" s="2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15"/>
      <c r="AW7" s="19"/>
      <c r="AX7" s="2"/>
    </row>
    <row r="8" spans="1:54" ht="15" customHeight="1">
      <c r="A8" s="22"/>
      <c r="B8" s="22"/>
      <c r="C8" s="22"/>
      <c r="D8" s="22"/>
      <c r="E8" s="22"/>
      <c r="F8" s="22"/>
      <c r="G8" s="22"/>
      <c r="H8" s="22"/>
      <c r="I8" s="22"/>
      <c r="J8" s="22"/>
      <c r="K8" s="22"/>
      <c r="L8" s="22"/>
      <c r="M8" s="2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15"/>
      <c r="AW8" s="19"/>
      <c r="AX8" s="2"/>
    </row>
    <row r="9" spans="1:54" ht="15" customHeight="1">
      <c r="A9" s="2"/>
      <c r="B9" s="2"/>
      <c r="C9" s="2"/>
      <c r="D9" s="119" t="str">
        <f>VLOOKUP(2020,ls!$B:$E,$BA$2,TRUE)</f>
        <v>国籍</v>
      </c>
      <c r="E9" s="119"/>
      <c r="F9" s="119"/>
      <c r="G9" s="119"/>
      <c r="H9" s="119"/>
      <c r="I9" s="120" t="str">
        <f>Resume!G7</f>
        <v>中国</v>
      </c>
      <c r="J9" s="120"/>
      <c r="K9" s="120"/>
      <c r="L9" s="120"/>
      <c r="M9" s="120"/>
      <c r="N9" s="120"/>
      <c r="O9" s="120"/>
      <c r="P9" s="120"/>
      <c r="Q9" s="120"/>
      <c r="R9" s="120"/>
      <c r="S9" s="120"/>
      <c r="T9" s="120"/>
      <c r="U9" s="120"/>
      <c r="V9" s="2"/>
      <c r="W9" s="2"/>
      <c r="X9" s="119" t="str">
        <f>VLOOKUP(2030,ls!$B:$E,$BA$2,TRUE)</f>
        <v>出生年月日</v>
      </c>
      <c r="Y9" s="119"/>
      <c r="Z9" s="119"/>
      <c r="AA9" s="119"/>
      <c r="AB9" s="152" t="str">
        <f>IF(Resume!G11&lt;&gt;"",Resume!G11,"")</f>
        <v/>
      </c>
      <c r="AC9" s="152"/>
      <c r="AD9" s="152"/>
      <c r="AE9" s="120" t="str">
        <f>VLOOKUP(2040,ls!$B:$E,$BA$2,TRUE)</f>
        <v>年</v>
      </c>
      <c r="AF9" s="120"/>
      <c r="AG9" s="128" t="str">
        <f>IF(Resume!L11&lt;&gt;"",Resume!L11,"")</f>
        <v/>
      </c>
      <c r="AH9" s="128"/>
      <c r="AI9" s="128"/>
      <c r="AJ9" s="120" t="str">
        <f>VLOOKUP(2050,ls!$B:$E,$BA$2,TRUE)</f>
        <v>月</v>
      </c>
      <c r="AK9" s="120"/>
      <c r="AL9" s="128" t="str">
        <f>IF(Resume!P11&lt;&gt;"",Resume!P11,"")</f>
        <v/>
      </c>
      <c r="AM9" s="128"/>
      <c r="AN9" s="128"/>
      <c r="AO9" s="120" t="str">
        <f>VLOOKUP(2060,ls!$B:$E,$BA$2,TRUE)</f>
        <v>日</v>
      </c>
      <c r="AP9" s="120"/>
      <c r="AQ9" s="2"/>
      <c r="AR9" s="2"/>
      <c r="AS9" s="2"/>
      <c r="AT9" s="2"/>
      <c r="AU9" s="2"/>
      <c r="AV9" s="2"/>
      <c r="AW9" s="2"/>
      <c r="AX9" s="2"/>
    </row>
    <row r="10" spans="1:54" ht="15" customHeight="1">
      <c r="A10" s="2"/>
      <c r="B10" s="2"/>
      <c r="C10" s="2"/>
      <c r="D10" s="123" t="str">
        <f>VLOOKUP(2020,ls!$B:$E,$BA$3,TRUE)</f>
        <v>Nationality</v>
      </c>
      <c r="E10" s="123"/>
      <c r="F10" s="123"/>
      <c r="G10" s="123"/>
      <c r="H10" s="123"/>
      <c r="I10" s="128"/>
      <c r="J10" s="128"/>
      <c r="K10" s="128"/>
      <c r="L10" s="128"/>
      <c r="M10" s="128"/>
      <c r="N10" s="128"/>
      <c r="O10" s="128"/>
      <c r="P10" s="128"/>
      <c r="Q10" s="128"/>
      <c r="R10" s="128"/>
      <c r="S10" s="128"/>
      <c r="T10" s="128"/>
      <c r="U10" s="128"/>
      <c r="V10" s="2"/>
      <c r="W10" s="2"/>
      <c r="X10" s="123" t="str">
        <f>VLOOKUP(2030,ls!$B:$E,$BA$3,TRUE)</f>
        <v>Date of Birth</v>
      </c>
      <c r="Y10" s="123"/>
      <c r="Z10" s="123"/>
      <c r="AA10" s="123"/>
      <c r="AB10" s="125" t="str">
        <f>VLOOKUP(2040,ls!$B:$E,$BA$3,TRUE)</f>
        <v>Year</v>
      </c>
      <c r="AC10" s="125"/>
      <c r="AD10" s="125"/>
      <c r="AE10" s="22"/>
      <c r="AF10" s="2"/>
      <c r="AG10" s="125" t="str">
        <f>VLOOKUP(2050,ls!$B:$E,$BA$3,TRUE)</f>
        <v>Month</v>
      </c>
      <c r="AH10" s="125"/>
      <c r="AI10" s="125"/>
      <c r="AJ10" s="22"/>
      <c r="AK10" s="2"/>
      <c r="AL10" s="125" t="str">
        <f>VLOOKUP(2060,ls!$B:$E,$BA$3,TRUE)</f>
        <v>Day</v>
      </c>
      <c r="AM10" s="125"/>
      <c r="AN10" s="125"/>
      <c r="AO10" s="22"/>
      <c r="AP10" s="2"/>
      <c r="AQ10" s="2"/>
      <c r="AR10" s="2"/>
      <c r="AS10" s="2"/>
      <c r="AT10" s="2"/>
      <c r="AU10" s="2"/>
      <c r="AV10" s="2"/>
      <c r="AW10" s="2"/>
      <c r="AX10" s="2"/>
    </row>
    <row r="11" spans="1:54" ht="15" customHeight="1">
      <c r="A11" s="2"/>
      <c r="B11" s="2"/>
      <c r="C11" s="2"/>
      <c r="D11" s="119" t="str">
        <f>VLOOKUP(2070,ls!$B:$E,$BA$2,TRUE)</f>
        <v>申请者姓名</v>
      </c>
      <c r="E11" s="119"/>
      <c r="F11" s="119"/>
      <c r="G11" s="119"/>
      <c r="H11" s="119"/>
      <c r="I11" s="135" t="str">
        <f>Resume!AA7 &amp;" " &amp;Resume!AH7</f>
        <v xml:space="preserve"> </v>
      </c>
      <c r="J11" s="135"/>
      <c r="K11" s="135"/>
      <c r="L11" s="135"/>
      <c r="M11" s="135"/>
      <c r="N11" s="135"/>
      <c r="O11" s="135"/>
      <c r="P11" s="135"/>
      <c r="Q11" s="135"/>
      <c r="R11" s="135"/>
      <c r="S11" s="135"/>
      <c r="T11" s="135"/>
      <c r="U11" s="135"/>
      <c r="V11" s="2"/>
      <c r="W11" s="2"/>
      <c r="X11" s="119" t="str">
        <f>VLOOKUP(2080,ls!$B:$E,$BA$2,TRUE)</f>
        <v>性別</v>
      </c>
      <c r="Y11" s="119"/>
      <c r="Z11" s="119"/>
      <c r="AA11" s="119"/>
      <c r="AB11" s="120" t="str">
        <f>Resume!AA11</f>
        <v xml:space="preserve"> </v>
      </c>
      <c r="AC11" s="120"/>
      <c r="AD11" s="120"/>
      <c r="AE11" s="120"/>
      <c r="AF11" s="120"/>
      <c r="AG11" s="120"/>
      <c r="AH11" s="120"/>
      <c r="AI11" s="120"/>
      <c r="AJ11" s="120"/>
      <c r="AK11" s="120"/>
      <c r="AL11" s="120"/>
      <c r="AM11" s="120"/>
      <c r="AN11" s="2"/>
      <c r="AO11" s="2"/>
      <c r="AP11" s="2"/>
      <c r="AQ11" s="2"/>
      <c r="AR11" s="2"/>
      <c r="AS11" s="2"/>
      <c r="AT11" s="2"/>
      <c r="AU11" s="2"/>
      <c r="AV11" s="2"/>
      <c r="AW11" s="2"/>
      <c r="AX11" s="2"/>
    </row>
    <row r="12" spans="1:54" ht="15" customHeight="1">
      <c r="A12" s="2"/>
      <c r="B12" s="2"/>
      <c r="C12" s="2"/>
      <c r="D12" s="123" t="str">
        <f>VLOOKUP(2070,ls!$B:$E,$BA$3,TRUE)</f>
        <v>Applicants Name</v>
      </c>
      <c r="E12" s="123"/>
      <c r="F12" s="123"/>
      <c r="G12" s="123"/>
      <c r="H12" s="123"/>
      <c r="I12" s="128"/>
      <c r="J12" s="128"/>
      <c r="K12" s="128"/>
      <c r="L12" s="128"/>
      <c r="M12" s="128"/>
      <c r="N12" s="128"/>
      <c r="O12" s="128"/>
      <c r="P12" s="128"/>
      <c r="Q12" s="128"/>
      <c r="R12" s="128"/>
      <c r="S12" s="128"/>
      <c r="T12" s="128"/>
      <c r="U12" s="128"/>
      <c r="V12" s="2"/>
      <c r="W12" s="2"/>
      <c r="X12" s="123" t="str">
        <f>VLOOKUP(2080,ls!$B:$E,$BA$3,TRUE)</f>
        <v>Sex</v>
      </c>
      <c r="Y12" s="123"/>
      <c r="Z12" s="123"/>
      <c r="AA12" s="123"/>
      <c r="AB12" s="128"/>
      <c r="AC12" s="128"/>
      <c r="AD12" s="128"/>
      <c r="AE12" s="128"/>
      <c r="AF12" s="128"/>
      <c r="AG12" s="128"/>
      <c r="AH12" s="128"/>
      <c r="AI12" s="128"/>
      <c r="AJ12" s="128"/>
      <c r="AK12" s="128"/>
      <c r="AL12" s="128"/>
      <c r="AM12" s="128"/>
      <c r="AN12" s="22"/>
      <c r="AO12" s="22"/>
      <c r="AP12" s="2"/>
      <c r="AQ12" s="2"/>
      <c r="AR12" s="2"/>
      <c r="AS12" s="2"/>
      <c r="AT12" s="2"/>
      <c r="AU12" s="2"/>
      <c r="AV12" s="2"/>
      <c r="AW12" s="2"/>
      <c r="AX12" s="2"/>
    </row>
    <row r="13" spans="1:54" ht="1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row>
    <row r="14" spans="1:54" ht="15" customHeight="1">
      <c r="A14" s="157" t="str">
        <f>VLOOKUP(2090,ls!$B:$E,$BA$2,TRUE)</f>
        <v>我本人同意上述人员入贵学院，并且担保同人在日本居留期间、入国时之经费支付。下述说明经费支付经过、并且誓约支付该人员在日所需要经费。</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2"/>
      <c r="AS14" s="2"/>
      <c r="AT14" s="2"/>
      <c r="AU14" s="2"/>
      <c r="AV14" s="2"/>
      <c r="AW14" s="2"/>
      <c r="AX14" s="2"/>
    </row>
    <row r="15" spans="1:54" ht="15" customHeight="1">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2"/>
      <c r="AS15" s="2"/>
      <c r="AT15" s="2"/>
      <c r="AU15" s="2"/>
      <c r="AV15" s="2"/>
      <c r="AW15" s="2"/>
      <c r="AX15" s="2"/>
    </row>
    <row r="16" spans="1:54" ht="15" customHeight="1">
      <c r="A16" s="158" t="str">
        <f>VLOOKUP(2090,ls!$B:$E,$BA$3,TRUE)</f>
        <v>I hereby explain the reason why I have taken any financial responsibility for above person while he/she is staying in Japan and entering into Japan, and again I hereby promise that I am in a position to assume all the responsibilities as stated below.</v>
      </c>
      <c r="B16" s="158"/>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2"/>
      <c r="AS16" s="2"/>
      <c r="AT16" s="2"/>
      <c r="AU16" s="2"/>
      <c r="AV16" s="2"/>
      <c r="AW16" s="2"/>
      <c r="AX16" s="2"/>
    </row>
    <row r="17" spans="1:59" ht="15" customHeight="1">
      <c r="A17" s="158"/>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2"/>
      <c r="AS17" s="2"/>
      <c r="AT17" s="2"/>
      <c r="AU17" s="2"/>
      <c r="AV17" s="2"/>
      <c r="AW17" s="2"/>
      <c r="AX17" s="2"/>
    </row>
    <row r="18" spans="1:59"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row>
    <row r="19" spans="1:59" ht="15" customHeight="1">
      <c r="A19" s="3">
        <v>1</v>
      </c>
      <c r="B19" s="19" t="s">
        <v>9</v>
      </c>
      <c r="C19" s="119" t="str">
        <f>VLOOKUP(2100,ls!$B:$E,$BA$2,TRUE)</f>
        <v>担保支付经费之经过（请具体说明担保理由及与申请者之关系）</v>
      </c>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2"/>
      <c r="AS19" s="2"/>
      <c r="AT19" s="2"/>
      <c r="AU19" s="2"/>
      <c r="AV19" s="2"/>
      <c r="AW19" s="2"/>
      <c r="AX19" s="2"/>
    </row>
    <row r="20" spans="1:59" ht="15" customHeight="1">
      <c r="A20" s="3"/>
      <c r="B20" s="19"/>
      <c r="C20" s="157" t="str">
        <f>VLOOKUP(2100,ls!$B:$E,$BA$3,TRUE)</f>
        <v>Reason for financial support (Specify the reason why you have taken the responsibility for the applicant and explain the relationship between yourself and the applicant in detail)</v>
      </c>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2"/>
      <c r="AS20" s="2"/>
      <c r="AT20" s="2"/>
      <c r="AU20" s="2"/>
      <c r="AV20" s="2"/>
      <c r="AW20" s="2"/>
      <c r="AX20" s="2"/>
    </row>
    <row r="21" spans="1:59" ht="15" customHeight="1">
      <c r="A21" s="3"/>
      <c r="B21" s="19"/>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2"/>
      <c r="AS21" s="2"/>
      <c r="AT21" s="159" t="str">
        <f>VLOOKUP(2100,ls!$B:$E,$BA$2,TRUE)</f>
        <v>担保支付经费之经过（请具体说明担保理由及与申请者之关系）</v>
      </c>
      <c r="AU21" s="159"/>
      <c r="AV21" s="159"/>
      <c r="AW21" s="159"/>
      <c r="AX21" s="159"/>
      <c r="AY21" s="159"/>
      <c r="AZ21" s="159"/>
      <c r="BA21" s="159"/>
      <c r="BB21" s="159"/>
      <c r="BC21" s="159"/>
      <c r="BD21" s="159"/>
      <c r="BE21" s="159"/>
      <c r="BF21" s="159"/>
      <c r="BG21" s="159"/>
    </row>
    <row r="22" spans="1:59" ht="15" customHeight="1">
      <c r="A22" s="3"/>
      <c r="B22" s="19"/>
      <c r="C22" s="153" t="str">
        <f>IF(AT22&lt;&gt;"",AT22,VLOOKUP("E10",fixinfo!$B:$E,$BA$2,FALSE))</f>
        <v>我是申请人的家长，此次孩子想赴日留学，作为家长有义务全力以赴帮助孩子完成梦想，我有足够的收入和存款，能够保证支付孩子留学期间的所有费用，希望孩子能认真学习有一个好的将来。</v>
      </c>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2"/>
      <c r="AS22" s="2"/>
      <c r="AT22" s="155"/>
      <c r="AU22" s="156"/>
      <c r="AV22" s="156"/>
      <c r="AW22" s="156"/>
      <c r="AX22" s="156"/>
      <c r="AY22" s="156"/>
      <c r="AZ22" s="156"/>
      <c r="BA22" s="156"/>
      <c r="BB22" s="156"/>
      <c r="BC22" s="156"/>
      <c r="BD22" s="156"/>
      <c r="BE22" s="156"/>
      <c r="BF22" s="156"/>
      <c r="BG22" s="156"/>
    </row>
    <row r="23" spans="1:59" ht="15" customHeight="1">
      <c r="A23" s="3"/>
      <c r="B23" s="19"/>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2"/>
      <c r="AS23" s="2"/>
      <c r="AT23" s="156"/>
      <c r="AU23" s="156"/>
      <c r="AV23" s="156"/>
      <c r="AW23" s="156"/>
      <c r="AX23" s="156"/>
      <c r="AY23" s="156"/>
      <c r="AZ23" s="156"/>
      <c r="BA23" s="156"/>
      <c r="BB23" s="156"/>
      <c r="BC23" s="156"/>
      <c r="BD23" s="156"/>
      <c r="BE23" s="156"/>
      <c r="BF23" s="156"/>
      <c r="BG23" s="156"/>
    </row>
    <row r="24" spans="1:59" ht="15" customHeight="1">
      <c r="A24" s="3"/>
      <c r="B24" s="19"/>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2"/>
      <c r="AS24" s="2"/>
      <c r="AT24" s="156"/>
      <c r="AU24" s="156"/>
      <c r="AV24" s="156"/>
      <c r="AW24" s="156"/>
      <c r="AX24" s="156"/>
      <c r="AY24" s="156"/>
      <c r="AZ24" s="156"/>
      <c r="BA24" s="156"/>
      <c r="BB24" s="156"/>
      <c r="BC24" s="156"/>
      <c r="BD24" s="156"/>
      <c r="BE24" s="156"/>
      <c r="BF24" s="156"/>
      <c r="BG24" s="156"/>
    </row>
    <row r="25" spans="1:59" ht="15" customHeight="1">
      <c r="A25" s="3"/>
      <c r="B25" s="19"/>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2"/>
      <c r="AS25" s="2"/>
      <c r="AT25" s="156"/>
      <c r="AU25" s="156"/>
      <c r="AV25" s="156"/>
      <c r="AW25" s="156"/>
      <c r="AX25" s="156"/>
      <c r="AY25" s="156"/>
      <c r="AZ25" s="156"/>
      <c r="BA25" s="156"/>
      <c r="BB25" s="156"/>
      <c r="BC25" s="156"/>
      <c r="BD25" s="156"/>
      <c r="BE25" s="156"/>
      <c r="BF25" s="156"/>
      <c r="BG25" s="156"/>
    </row>
    <row r="26" spans="1:59" ht="15" customHeight="1">
      <c r="A26" s="3"/>
      <c r="B26" s="19"/>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2"/>
      <c r="AS26" s="2"/>
      <c r="AT26" s="156"/>
      <c r="AU26" s="156"/>
      <c r="AV26" s="156"/>
      <c r="AW26" s="156"/>
      <c r="AX26" s="156"/>
      <c r="AY26" s="156"/>
      <c r="AZ26" s="156"/>
      <c r="BA26" s="156"/>
      <c r="BB26" s="156"/>
      <c r="BC26" s="156"/>
      <c r="BD26" s="156"/>
      <c r="BE26" s="156"/>
      <c r="BF26" s="156"/>
      <c r="BG26" s="156"/>
    </row>
    <row r="27" spans="1:59" ht="15" customHeight="1">
      <c r="A27" s="3"/>
      <c r="B27" s="19"/>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2"/>
      <c r="AS27" s="2"/>
      <c r="AT27" s="156"/>
      <c r="AU27" s="156"/>
      <c r="AV27" s="156"/>
      <c r="AW27" s="156"/>
      <c r="AX27" s="156"/>
      <c r="AY27" s="156"/>
      <c r="AZ27" s="156"/>
      <c r="BA27" s="156"/>
      <c r="BB27" s="156"/>
      <c r="BC27" s="156"/>
      <c r="BD27" s="156"/>
      <c r="BE27" s="156"/>
      <c r="BF27" s="156"/>
      <c r="BG27" s="156"/>
    </row>
    <row r="28" spans="1:59" ht="15" customHeight="1">
      <c r="A28" s="3"/>
      <c r="B28" s="1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9" ht="15" customHeight="1">
      <c r="A29" s="3"/>
      <c r="B29" s="1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9" ht="15" customHeight="1">
      <c r="A30" s="3">
        <v>2</v>
      </c>
      <c r="B30" s="19" t="s">
        <v>9</v>
      </c>
      <c r="C30" s="119" t="str">
        <f>VLOOKUP(2110,ls!$B:$E,$BA$2,TRUE)</f>
        <v>经费担保内容</v>
      </c>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2"/>
      <c r="AS30" s="2"/>
      <c r="AT30" s="19" t="s">
        <v>39</v>
      </c>
      <c r="AU30" s="2"/>
      <c r="AV30" s="2"/>
      <c r="AW30" s="2"/>
      <c r="AX30" s="2"/>
    </row>
    <row r="31" spans="1:59" ht="15" customHeight="1">
      <c r="A31" s="2"/>
      <c r="B31" s="2"/>
      <c r="C31" s="123" t="str">
        <f>VLOOKUP(2110,ls!$B:$E,$BA$3,TRUE)</f>
        <v>Ability proof of expenses</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2"/>
      <c r="AS31" s="2"/>
      <c r="AT31" s="19" t="s">
        <v>40</v>
      </c>
      <c r="AV31" s="2"/>
      <c r="AW31" s="2"/>
      <c r="AX31" s="2"/>
    </row>
    <row r="32" spans="1:59" ht="15" customHeight="1">
      <c r="A32" s="2"/>
      <c r="B32" s="2"/>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
      <c r="AS32" s="2"/>
      <c r="AT32" s="60" t="b">
        <f>IF(Resume!AR27="○",TRUE,FALSE)</f>
        <v>0</v>
      </c>
      <c r="AU32" s="2"/>
      <c r="AV32" s="2"/>
      <c r="AW32" s="2"/>
      <c r="AX32" s="2"/>
    </row>
    <row r="33" spans="1:59" ht="15" customHeight="1">
      <c r="A33" s="2"/>
      <c r="B33" s="2"/>
      <c r="C33" s="25"/>
      <c r="D33" s="2"/>
      <c r="E33" s="124" t="str">
        <f>VLOOKUP(2120,ls!$B:$E,$BA$2,TRUE)&amp;"("&amp;VLOOKUP(2120,ls!$B:$E,$BA$3,TRUE)&amp;")"</f>
        <v>姓(Family name)</v>
      </c>
      <c r="F33" s="124"/>
      <c r="G33" s="124"/>
      <c r="H33" s="124"/>
      <c r="I33" s="124"/>
      <c r="J33" s="124"/>
      <c r="K33" s="2"/>
      <c r="L33" s="124" t="str">
        <f>VLOOKUP(2130,ls!$B:$E,$BA$2,TRUE)&amp;"("&amp;VLOOKUP(2130,ls!$B:$E,$BA$3,TRUE)&amp;")"</f>
        <v>名(Middle, Given name)</v>
      </c>
      <c r="M33" s="124"/>
      <c r="N33" s="124"/>
      <c r="O33" s="124"/>
      <c r="P33" s="124"/>
      <c r="Q33" s="124"/>
      <c r="R33" s="124"/>
      <c r="S33" s="124"/>
      <c r="T33" s="124"/>
      <c r="U33" s="2"/>
      <c r="V33" s="2"/>
      <c r="W33" s="25"/>
      <c r="X33" s="25"/>
      <c r="Y33" s="25"/>
      <c r="Z33" s="25"/>
      <c r="AA33" s="25"/>
      <c r="AB33" s="25"/>
      <c r="AC33" s="25"/>
      <c r="AD33" s="25"/>
      <c r="AE33" s="25"/>
      <c r="AF33" s="25"/>
      <c r="AG33" s="25"/>
      <c r="AH33" s="25"/>
      <c r="AI33" s="25"/>
      <c r="AJ33" s="25"/>
      <c r="AK33" s="25"/>
      <c r="AL33" s="25"/>
      <c r="AM33" s="25"/>
      <c r="AN33" s="25"/>
      <c r="AO33" s="25"/>
      <c r="AP33" s="25"/>
      <c r="AQ33" s="25"/>
      <c r="AR33" s="2"/>
      <c r="AS33" s="2"/>
      <c r="AT33" s="19" t="s">
        <v>41</v>
      </c>
      <c r="AU33" s="2"/>
      <c r="AV33" s="2"/>
      <c r="AW33" s="2"/>
      <c r="AX33" s="2"/>
    </row>
    <row r="34" spans="1:59" ht="15" customHeight="1">
      <c r="A34" s="2"/>
      <c r="B34" s="2"/>
      <c r="C34" s="119" t="str">
        <f>VLOOKUP(2140,ls!$B:$E,$BA$2,TRUE)</f>
        <v>我</v>
      </c>
      <c r="D34" s="61"/>
      <c r="E34" s="140" t="str">
        <f>IF(AT34&lt;&gt;"",AT34,"")</f>
        <v/>
      </c>
      <c r="F34" s="140"/>
      <c r="G34" s="140"/>
      <c r="H34" s="140"/>
      <c r="I34" s="140"/>
      <c r="J34" s="140"/>
      <c r="K34" s="2"/>
      <c r="L34" s="119" t="str">
        <f>IF(AT35&lt;&gt;"",AT35,"")</f>
        <v/>
      </c>
      <c r="M34" s="119"/>
      <c r="N34" s="119"/>
      <c r="O34" s="119"/>
      <c r="P34" s="119"/>
      <c r="Q34" s="119"/>
      <c r="R34" s="119"/>
      <c r="S34" s="119"/>
      <c r="T34" s="119"/>
      <c r="U34" s="2"/>
      <c r="V34" s="119" t="str">
        <f>VLOOKUP(2150,ls!$B:$E,$BA$2,TRUE)</f>
        <v>誓约支付上述人员在日本居留期间的下述学费及生活费等经费。</v>
      </c>
      <c r="W34" s="119"/>
      <c r="X34" s="119"/>
      <c r="Y34" s="119"/>
      <c r="Z34" s="119"/>
      <c r="AA34" s="119"/>
      <c r="AB34" s="119"/>
      <c r="AC34" s="119"/>
      <c r="AD34" s="119"/>
      <c r="AE34" s="119"/>
      <c r="AF34" s="119"/>
      <c r="AG34" s="119"/>
      <c r="AH34" s="119"/>
      <c r="AI34" s="119"/>
      <c r="AJ34" s="119"/>
      <c r="AK34" s="119"/>
      <c r="AL34" s="119"/>
      <c r="AM34" s="119"/>
      <c r="AN34" s="119"/>
      <c r="AO34" s="119"/>
      <c r="AP34" s="119"/>
      <c r="AQ34" s="119"/>
      <c r="AR34" s="2"/>
      <c r="AS34" s="2"/>
      <c r="AT34" s="60" t="str">
        <f>SUBSTITUTE(TRIM(Resume!E25),"　"," ")</f>
        <v/>
      </c>
      <c r="AV34" s="2"/>
      <c r="AW34" s="2"/>
      <c r="AX34" s="2"/>
    </row>
    <row r="35" spans="1:59" ht="15" customHeight="1">
      <c r="A35" s="2"/>
      <c r="B35" s="2"/>
      <c r="C35" s="119"/>
      <c r="D35" s="62"/>
      <c r="E35" s="160" t="str">
        <f>IF(AT37&lt;&gt;"",AT37,"")</f>
        <v/>
      </c>
      <c r="F35" s="160"/>
      <c r="G35" s="160"/>
      <c r="H35" s="160"/>
      <c r="I35" s="160"/>
      <c r="J35" s="160"/>
      <c r="K35" s="2"/>
      <c r="L35" s="161" t="str">
        <f>IF(AT38&lt;&gt;"",AT38,"")</f>
        <v/>
      </c>
      <c r="M35" s="161"/>
      <c r="N35" s="161"/>
      <c r="O35" s="161"/>
      <c r="P35" s="161"/>
      <c r="Q35" s="161"/>
      <c r="R35" s="161"/>
      <c r="S35" s="161"/>
      <c r="T35" s="161"/>
      <c r="U35" s="43"/>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2"/>
      <c r="AS35" s="2"/>
      <c r="AT35" s="60" t="str">
        <f>SUBSTITUTE(TRIM(Resume!M25),"　"," ")</f>
        <v/>
      </c>
      <c r="AV35" s="2"/>
      <c r="AW35" s="2"/>
      <c r="AX35" s="2"/>
    </row>
    <row r="36" spans="1:59" ht="15" customHeight="1">
      <c r="A36" s="2"/>
      <c r="B36" s="2"/>
      <c r="C36" s="162" t="str">
        <f>VLOOKUP(2160,ls!$B:$E,$BA$2,TRUE)</f>
        <v>此外，在上述人员申请办理居留期间更新许可时，提交汇款证明书或本人名义银行存折文件。（有记载汇款及支付经费之事实记录之复印件等，能证明支付生活费等之证明）</v>
      </c>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2"/>
      <c r="AS36" s="2"/>
      <c r="AT36" t="s">
        <v>42</v>
      </c>
      <c r="AV36" s="119" t="s">
        <v>558</v>
      </c>
      <c r="AW36" s="119"/>
      <c r="AX36" s="119"/>
      <c r="AY36" s="119"/>
      <c r="AZ36" s="119"/>
      <c r="BA36" s="119"/>
      <c r="BB36" s="119"/>
      <c r="BC36" s="119"/>
    </row>
    <row r="37" spans="1:59" ht="15" customHeight="1">
      <c r="A37" s="2"/>
      <c r="B37" s="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2"/>
      <c r="AS37" s="2"/>
      <c r="AT37" s="60" t="str">
        <f>IF(AT32,SUBSTITUTE(TRIM(Resume!E27),"　"," "),"")</f>
        <v/>
      </c>
      <c r="AV37" s="150" t="str">
        <f>Resume!P26</f>
        <v xml:space="preserve"> </v>
      </c>
      <c r="AW37" s="150"/>
      <c r="AX37" s="150"/>
      <c r="AY37" s="150"/>
      <c r="AZ37" s="150"/>
      <c r="BA37" s="150"/>
      <c r="BB37" s="150"/>
      <c r="BC37" s="150"/>
    </row>
    <row r="38" spans="1:59" ht="15" customHeight="1">
      <c r="A38" s="2"/>
      <c r="B38" s="2"/>
      <c r="C38" s="163" t="str">
        <f>VLOOKUP(2140,ls!$B:$E,$BA$3,TRUE)</f>
        <v>I</v>
      </c>
      <c r="D38" s="164" t="str">
        <f>E34&amp;" "&amp;L34</f>
        <v xml:space="preserve"> </v>
      </c>
      <c r="E38" s="164"/>
      <c r="F38" s="164"/>
      <c r="G38" s="164"/>
      <c r="H38" s="164"/>
      <c r="I38" s="164"/>
      <c r="J38" s="164"/>
      <c r="K38" s="164"/>
      <c r="L38" s="164"/>
      <c r="M38" s="164"/>
      <c r="N38" s="165" t="str">
        <f>VLOOKUP(2150,ls!$B:$E,$BA$3,TRUE)</f>
        <v>pledge myself to take the financial responsibility of the person above while he/she stays in Japan as followings.</v>
      </c>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2"/>
      <c r="AS38" s="2"/>
      <c r="AT38" s="60" t="str">
        <f>IF(AT32,SUBSTITUTE(TRIM(Resume!M27),"　"," "),"")</f>
        <v/>
      </c>
      <c r="AV38" s="150" t="str">
        <f>IF(AT32,Resume!P28,"")</f>
        <v/>
      </c>
      <c r="AW38" s="150"/>
      <c r="AX38" s="150"/>
      <c r="AY38" s="150"/>
      <c r="AZ38" s="150"/>
      <c r="BA38" s="150"/>
      <c r="BB38" s="150"/>
      <c r="BC38" s="150"/>
    </row>
    <row r="39" spans="1:59" ht="15" customHeight="1">
      <c r="A39" s="2"/>
      <c r="B39" s="2"/>
      <c r="C39" s="163"/>
      <c r="D39" s="166" t="str">
        <f>E35&amp;" "&amp;L35</f>
        <v xml:space="preserve"> </v>
      </c>
      <c r="E39" s="166"/>
      <c r="F39" s="166"/>
      <c r="G39" s="166"/>
      <c r="H39" s="166"/>
      <c r="I39" s="166"/>
      <c r="J39" s="166"/>
      <c r="K39" s="166"/>
      <c r="L39" s="166"/>
      <c r="M39" s="166"/>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2"/>
      <c r="AS39" s="2"/>
      <c r="AT39" t="s">
        <v>43</v>
      </c>
      <c r="AV39" s="110"/>
      <c r="AW39" s="110"/>
      <c r="AX39" s="110"/>
    </row>
    <row r="40" spans="1:59" ht="15" customHeight="1">
      <c r="A40" s="2"/>
      <c r="B40" s="2"/>
      <c r="C40" s="158" t="str">
        <f>VLOOKUP(2160,ls!$B:$E,$BA$3,TRUE)</f>
        <v>While, in case he/she applies for an extension of his/her stay in Japan, I will submit copies of the documents which certify the remittance or his/her own bankbook in which the fact of remittance or financial support are stated, and which can prove the fact that his/her living expenses are being supported.</v>
      </c>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2"/>
      <c r="AS40" s="2"/>
      <c r="AT40" s="60" t="str">
        <f>IF(Resume!AM25&lt;&gt;"",Resume!AM25,"")</f>
        <v/>
      </c>
      <c r="AV40" s="110"/>
      <c r="AW40" s="110"/>
      <c r="AX40" s="110"/>
    </row>
    <row r="41" spans="1:59" ht="15" customHeight="1">
      <c r="A41" s="2"/>
      <c r="B41" s="2"/>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2"/>
      <c r="AS41" s="2"/>
      <c r="AT41" s="60" t="str">
        <f>IF(AT32,Resume!AM27,"")</f>
        <v/>
      </c>
      <c r="AV41" s="110"/>
      <c r="AW41" s="110"/>
      <c r="AX41" s="110"/>
    </row>
    <row r="42" spans="1:59" ht="15" customHeight="1">
      <c r="A42" s="2"/>
      <c r="B42" s="2"/>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
      <c r="AS42" s="2"/>
      <c r="AT42" t="s">
        <v>44</v>
      </c>
      <c r="AV42" s="119" t="s">
        <v>559</v>
      </c>
      <c r="AW42" s="119"/>
      <c r="AX42" s="119"/>
      <c r="AY42" s="119"/>
      <c r="AZ42" s="119"/>
      <c r="BA42" s="119"/>
      <c r="BB42" s="119"/>
      <c r="BC42" s="119"/>
    </row>
    <row r="43" spans="1:59" ht="15" customHeight="1">
      <c r="A43" s="2"/>
      <c r="B43" s="2"/>
      <c r="C43" s="131" t="s">
        <v>13</v>
      </c>
      <c r="D43" s="120"/>
      <c r="E43" s="119" t="str">
        <f>VLOOKUP(2170,ls!$B:$E,$BA$2,TRUE) &amp; "("&amp;VLOOKUP(2170,ls!$B:$E,$BA$3,TRUE)&amp;")"</f>
        <v>学费(Tuition Fees)</v>
      </c>
      <c r="F43" s="119"/>
      <c r="G43" s="119"/>
      <c r="H43" s="119"/>
      <c r="I43" s="119"/>
      <c r="J43" s="119"/>
      <c r="K43" s="119"/>
      <c r="L43" s="119"/>
      <c r="M43" s="119"/>
      <c r="N43" s="119"/>
      <c r="O43" s="119"/>
      <c r="P43" s="119"/>
      <c r="Q43" s="119"/>
      <c r="R43" s="2"/>
      <c r="S43" s="140" t="str">
        <f>VLOOKUP(2180,ls!$B:$E,$BA$2,TRUE) &amp; "("&amp;VLOOKUP(2180,ls!$B:$E,$BA$3,TRUE)&amp;")"</f>
        <v>一年(1Year)</v>
      </c>
      <c r="T43" s="140"/>
      <c r="U43" s="140"/>
      <c r="V43" s="140"/>
      <c r="W43" s="140"/>
      <c r="X43" s="140"/>
      <c r="Y43" s="140"/>
      <c r="Z43" s="140"/>
      <c r="AA43" s="167">
        <v>760000</v>
      </c>
      <c r="AB43" s="167"/>
      <c r="AC43" s="167"/>
      <c r="AD43" s="167"/>
      <c r="AE43" s="167"/>
      <c r="AF43" s="167"/>
      <c r="AG43" s="167"/>
      <c r="AH43" s="167"/>
      <c r="AI43" s="167"/>
      <c r="AJ43" s="119" t="str">
        <f>VLOOKUP(2190,ls!$B:$E,$BA$2,TRUE) &amp; "("&amp;VLOOKUP(2190,ls!$B:$E,$BA$3,TRUE)&amp;")"</f>
        <v>円(Japanese Yen)</v>
      </c>
      <c r="AK43" s="119"/>
      <c r="AL43" s="119"/>
      <c r="AM43" s="119"/>
      <c r="AN43" s="119"/>
      <c r="AO43" s="119"/>
      <c r="AP43" s="119"/>
      <c r="AR43" s="2"/>
      <c r="AS43" s="2"/>
      <c r="AT43" s="60" t="str">
        <f>SUBSTITUTE(TRIM(Resume!U25),"　"," ")</f>
        <v/>
      </c>
      <c r="AV43" s="150" t="str">
        <f>SUBSTITUTE(TRIM(Resume!Z26),"　"," ")</f>
        <v/>
      </c>
      <c r="AW43" s="150"/>
      <c r="AX43" s="150"/>
      <c r="AY43" s="150"/>
      <c r="AZ43" s="150"/>
      <c r="BA43" s="150"/>
      <c r="BB43" s="150"/>
      <c r="BC43" s="150"/>
    </row>
    <row r="44" spans="1:59" ht="15" customHeight="1">
      <c r="A44" s="2"/>
      <c r="B44" s="2"/>
      <c r="C44" s="131" t="s">
        <v>17</v>
      </c>
      <c r="D44" s="120"/>
      <c r="E44" s="119" t="str">
        <f>VLOOKUP(2200,ls!$B:$E,$BA$2,TRUE) &amp; "("&amp;VLOOKUP(2200,ls!$B:$E,$BA$3,TRUE)&amp;")"</f>
        <v>生活费(Living Expenses)</v>
      </c>
      <c r="F44" s="119"/>
      <c r="G44" s="119"/>
      <c r="H44" s="119"/>
      <c r="I44" s="119"/>
      <c r="J44" s="119"/>
      <c r="K44" s="119"/>
      <c r="L44" s="119"/>
      <c r="M44" s="119"/>
      <c r="N44" s="119"/>
      <c r="O44" s="119"/>
      <c r="P44" s="119"/>
      <c r="Q44" s="119"/>
      <c r="R44" s="2"/>
      <c r="S44" s="140" t="str">
        <f>VLOOKUP(2210,ls!$B:$E,$BA$2,TRUE) &amp; "("&amp;VLOOKUP(2210,ls!$B:$E,$BA$3,TRUE)&amp;")"</f>
        <v>月額(Monthly Amount)</v>
      </c>
      <c r="T44" s="140"/>
      <c r="U44" s="140"/>
      <c r="V44" s="140"/>
      <c r="W44" s="140"/>
      <c r="X44" s="140"/>
      <c r="Y44" s="140"/>
      <c r="Z44" s="140"/>
      <c r="AA44" s="167">
        <v>80000</v>
      </c>
      <c r="AB44" s="167"/>
      <c r="AC44" s="167"/>
      <c r="AD44" s="167"/>
      <c r="AE44" s="167"/>
      <c r="AF44" s="167"/>
      <c r="AG44" s="167"/>
      <c r="AH44" s="167"/>
      <c r="AI44" s="167"/>
      <c r="AJ44" s="119" t="str">
        <f>VLOOKUP(2190,ls!$B:$E,$BA$2,TRUE) &amp; "("&amp;VLOOKUP(2190,ls!$B:$E,$BA$3,TRUE)&amp;")"</f>
        <v>円(Japanese Yen)</v>
      </c>
      <c r="AK44" s="119"/>
      <c r="AL44" s="119"/>
      <c r="AM44" s="119"/>
      <c r="AN44" s="119"/>
      <c r="AO44" s="119"/>
      <c r="AP44" s="119"/>
      <c r="AR44" s="2"/>
      <c r="AS44" s="2"/>
      <c r="AT44" s="60" t="str">
        <f>IF(AT32,SUBSTITUTE(TRIM(Resume!U27),"　"," "),"")</f>
        <v/>
      </c>
      <c r="AV44" s="150" t="str">
        <f>IF(AT32,SUBSTITUTE(TRIM(Resume!Z28),"　"," "),"")</f>
        <v/>
      </c>
      <c r="AW44" s="150"/>
      <c r="AX44" s="150"/>
      <c r="AY44" s="150"/>
      <c r="AZ44" s="150"/>
      <c r="BA44" s="150"/>
      <c r="BB44" s="150"/>
      <c r="BC44" s="150"/>
    </row>
    <row r="45" spans="1:59" ht="15" customHeight="1">
      <c r="A45" s="2"/>
      <c r="B45" s="2"/>
      <c r="C45" s="131" t="s">
        <v>20</v>
      </c>
      <c r="D45" s="120"/>
      <c r="E45" s="119" t="str">
        <f>VLOOKUP(2220,ls!$B:$E,$BA$2,TRUE)</f>
        <v>支付方法(请具体说明汇款等支付方法)</v>
      </c>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2"/>
      <c r="AS45" s="2"/>
      <c r="AV45" s="2"/>
      <c r="AW45" s="2"/>
      <c r="AX45" s="2"/>
    </row>
    <row r="46" spans="1:59" ht="15" customHeight="1">
      <c r="A46" s="2"/>
      <c r="B46" s="2"/>
      <c r="C46" s="2"/>
      <c r="D46" s="2"/>
      <c r="E46" s="123" t="str">
        <f>VLOOKUP(2220,ls!$B:$E,$BA$3,TRUE)</f>
        <v>Means of payment (Specify method of payment, transfer etc)</v>
      </c>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2"/>
      <c r="AS46" s="2"/>
      <c r="AT46" s="168" t="str">
        <f>VLOOKUP(2220,ls!$B:$E,$BA$2,TRUE)</f>
        <v>支付方法(请具体说明汇款等支付方法)</v>
      </c>
      <c r="AU46" s="168"/>
      <c r="AV46" s="168"/>
      <c r="AW46" s="168"/>
      <c r="AX46" s="168"/>
      <c r="AY46" s="168"/>
      <c r="AZ46" s="168"/>
      <c r="BA46" s="168"/>
      <c r="BB46" s="168"/>
      <c r="BC46" s="168"/>
      <c r="BD46" s="168"/>
      <c r="BE46" s="168"/>
      <c r="BF46" s="168"/>
      <c r="BG46" s="168"/>
    </row>
    <row r="47" spans="1:59" ht="15" customHeight="1">
      <c r="A47" s="2"/>
      <c r="B47" s="2"/>
      <c r="C47" s="2"/>
      <c r="D47" s="2"/>
      <c r="E47" s="153" t="str">
        <f>IF(AT47&lt;&gt;"",AT47,VLOOKUP("E20",fixinfo!$B:$E,$BA$2,FALSE))</f>
        <v>第一年的学费会通过银行汇款到学校指定账户，前期生活费会让孩子赴日时随身携带，之后，也会定期汇款到孩子名义的账户中。</v>
      </c>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2"/>
      <c r="AS47" s="2"/>
      <c r="AT47" s="169"/>
      <c r="AU47" s="156"/>
      <c r="AV47" s="156"/>
      <c r="AW47" s="156"/>
      <c r="AX47" s="156"/>
      <c r="AY47" s="156"/>
      <c r="AZ47" s="156"/>
      <c r="BA47" s="156"/>
      <c r="BB47" s="156"/>
      <c r="BC47" s="156"/>
      <c r="BD47" s="156"/>
      <c r="BE47" s="156"/>
      <c r="BF47" s="156"/>
      <c r="BG47" s="156"/>
    </row>
    <row r="48" spans="1:59" ht="15" customHeight="1">
      <c r="A48" s="2"/>
      <c r="B48" s="2"/>
      <c r="C48" s="2"/>
      <c r="D48" s="2"/>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2"/>
      <c r="AS48" s="2"/>
      <c r="AT48" s="156"/>
      <c r="AU48" s="156"/>
      <c r="AV48" s="156"/>
      <c r="AW48" s="156"/>
      <c r="AX48" s="156"/>
      <c r="AY48" s="156"/>
      <c r="AZ48" s="156"/>
      <c r="BA48" s="156"/>
      <c r="BB48" s="156"/>
      <c r="BC48" s="156"/>
      <c r="BD48" s="156"/>
      <c r="BE48" s="156"/>
      <c r="BF48" s="156"/>
      <c r="BG48" s="156"/>
    </row>
    <row r="49" spans="1:59" ht="15" customHeight="1">
      <c r="A49" s="2"/>
      <c r="B49" s="2"/>
      <c r="C49" s="2"/>
      <c r="D49" s="2"/>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2"/>
      <c r="AS49" s="2"/>
      <c r="AT49" s="156"/>
      <c r="AU49" s="156"/>
      <c r="AV49" s="156"/>
      <c r="AW49" s="156"/>
      <c r="AX49" s="156"/>
      <c r="AY49" s="156"/>
      <c r="AZ49" s="156"/>
      <c r="BA49" s="156"/>
      <c r="BB49" s="156"/>
      <c r="BC49" s="156"/>
      <c r="BD49" s="156"/>
      <c r="BE49" s="156"/>
      <c r="BF49" s="156"/>
      <c r="BG49" s="156"/>
    </row>
    <row r="50" spans="1:59" ht="15" customHeight="1">
      <c r="A50" s="2"/>
      <c r="B50" s="2"/>
      <c r="C50" s="2"/>
      <c r="D50" s="2"/>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2"/>
      <c r="AS50" s="2"/>
      <c r="AT50" s="156"/>
      <c r="AU50" s="156"/>
      <c r="AV50" s="156"/>
      <c r="AW50" s="156"/>
      <c r="AX50" s="156"/>
      <c r="AY50" s="156"/>
      <c r="AZ50" s="156"/>
      <c r="BA50" s="156"/>
      <c r="BB50" s="156"/>
      <c r="BC50" s="156"/>
      <c r="BD50" s="156"/>
      <c r="BE50" s="156"/>
      <c r="BF50" s="156"/>
      <c r="BG50" s="156"/>
    </row>
    <row r="51" spans="1:59" ht="1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V51" s="3"/>
      <c r="AW51" s="3"/>
      <c r="AX51" s="2"/>
    </row>
    <row r="52" spans="1:59" ht="1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3"/>
    </row>
    <row r="53" spans="1:59" ht="15" customHeight="1">
      <c r="A53" s="2"/>
      <c r="B53" s="2"/>
      <c r="C53" s="2"/>
      <c r="D53" s="2"/>
      <c r="E53" s="172" t="str">
        <f>VLOOKUP(2230,ls!$B:$E,$BA$2,TRUE) &amp; "("&amp;VLOOKUP(2230,ls!$B:$E,$BA$3,TRUE)&amp;")"</f>
        <v>请务必填写日期(Please be sure to write an entered day.)</v>
      </c>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2"/>
      <c r="AS53" s="2"/>
      <c r="AT53" s="19" t="s">
        <v>45</v>
      </c>
      <c r="AU53" s="2"/>
      <c r="AV53" s="2"/>
      <c r="AW53" s="2"/>
      <c r="AX53" s="2"/>
    </row>
    <row r="54" spans="1:59" ht="15" customHeight="1">
      <c r="A54" s="2"/>
      <c r="B54" s="2"/>
      <c r="C54" s="2"/>
      <c r="D54" s="2"/>
      <c r="E54" s="2"/>
      <c r="F54" s="2"/>
      <c r="G54" s="2"/>
      <c r="H54" s="2"/>
      <c r="I54" s="2"/>
      <c r="J54" s="2"/>
      <c r="K54" s="2"/>
      <c r="L54" s="2"/>
      <c r="M54" s="2"/>
      <c r="N54" s="2"/>
      <c r="O54" s="2"/>
      <c r="P54" s="2"/>
      <c r="Q54" s="14"/>
      <c r="R54" s="2"/>
      <c r="S54" s="2"/>
      <c r="T54" s="2"/>
      <c r="U54" s="2"/>
      <c r="V54" s="2"/>
      <c r="W54" s="2"/>
      <c r="X54" s="2"/>
      <c r="Y54" s="2"/>
      <c r="Z54" s="2"/>
      <c r="AA54" s="2"/>
      <c r="AE54" s="173">
        <f>Resume!X107</f>
        <v>0</v>
      </c>
      <c r="AF54" s="173"/>
      <c r="AG54" s="173"/>
      <c r="AJ54" s="134">
        <f>Resume!AD107</f>
        <v>0</v>
      </c>
      <c r="AK54" s="134"/>
      <c r="AN54" s="134">
        <f>Resume!AJ107</f>
        <v>0</v>
      </c>
      <c r="AO54" s="134"/>
      <c r="AT54" s="148" t="str">
        <f>IF(ISERROR(DATEVALUE(AE54&amp;"/"&amp;AJ54&amp;"/"&amp;AN54)),"DATE ERROR!!",DATEVALUE(AE54&amp;"/"&amp;AJ54&amp;"/"&amp;AN54))</f>
        <v>DATE ERROR!!</v>
      </c>
      <c r="AU54" s="54"/>
      <c r="AV54" s="2"/>
      <c r="AW54" s="2"/>
      <c r="AX54" s="2"/>
    </row>
    <row r="55" spans="1:59" ht="1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124" t="str">
        <f>VLOOKUP(2040,ls!$B:$E,$BA$3,TRUE)</f>
        <v>Year</v>
      </c>
      <c r="AF55" s="124"/>
      <c r="AG55" s="124"/>
      <c r="AH55" s="2"/>
      <c r="AI55" s="2"/>
      <c r="AJ55" s="124" t="str">
        <f>VLOOKUP(2050,ls!$B:$E,$BA$3,TRUE)</f>
        <v>Month</v>
      </c>
      <c r="AK55" s="124"/>
      <c r="AL55" s="2"/>
      <c r="AM55" s="2"/>
      <c r="AN55" s="124" t="str">
        <f>VLOOKUP(2060,ls!$B:$E,$BA$3,TRUE)</f>
        <v>Day</v>
      </c>
      <c r="AO55" s="124"/>
      <c r="AP55" s="2"/>
      <c r="AQ55" s="22"/>
      <c r="AR55" s="3"/>
      <c r="AS55" s="2"/>
      <c r="AT55" s="149"/>
      <c r="AU55" s="2"/>
      <c r="AV55" s="2"/>
      <c r="AW55" s="2"/>
      <c r="AX55" s="3"/>
    </row>
    <row r="56" spans="1:59" ht="15" customHeight="1">
      <c r="A56" s="2"/>
      <c r="B56" s="119" t="str">
        <f>VLOOKUP(2240,ls!$B:$E,$BA$2,TRUE)</f>
        <v>经费担保人（经济保证人）</v>
      </c>
      <c r="C56" s="119"/>
      <c r="D56" s="119"/>
      <c r="E56" s="119"/>
      <c r="F56" s="119"/>
      <c r="G56" s="119"/>
      <c r="H56" s="119"/>
      <c r="I56" s="119"/>
      <c r="J56" s="119"/>
      <c r="K56" s="119"/>
      <c r="L56" s="119"/>
      <c r="M56" s="119"/>
      <c r="N56" s="3"/>
      <c r="O56" s="3"/>
      <c r="P56" s="2"/>
      <c r="Q56" s="2"/>
      <c r="R56" s="2"/>
      <c r="S56" s="2"/>
      <c r="T56" s="2"/>
      <c r="U56" s="2"/>
      <c r="V56" s="2"/>
      <c r="W56" s="2"/>
      <c r="X56" s="2"/>
      <c r="Y56" s="2"/>
      <c r="Z56" s="2"/>
      <c r="AA56" s="2"/>
      <c r="AB56" s="2"/>
      <c r="AC56" s="3"/>
      <c r="AD56" s="2"/>
      <c r="AE56" s="2"/>
      <c r="AF56" s="2"/>
      <c r="AG56" s="2"/>
      <c r="AH56" s="2"/>
      <c r="AI56" s="2"/>
      <c r="AJ56" s="2"/>
      <c r="AK56" s="2"/>
      <c r="AL56" s="2"/>
      <c r="AM56" s="2"/>
      <c r="AN56" s="2"/>
      <c r="AO56" s="2"/>
      <c r="AP56" s="2"/>
      <c r="AQ56" s="2"/>
      <c r="AR56" s="2"/>
      <c r="AS56" s="2"/>
      <c r="AT56" s="2"/>
      <c r="AU56" s="2"/>
      <c r="AV56" s="2"/>
      <c r="AW56" s="2"/>
      <c r="AX56" s="2"/>
    </row>
    <row r="57" spans="1:59" ht="15" customHeight="1">
      <c r="A57" s="2"/>
      <c r="B57" s="123" t="str">
        <f>VLOOKUP(2240,ls!$B:$E,$BA$3,TRUE)</f>
        <v>Name of Sponsor</v>
      </c>
      <c r="C57" s="123"/>
      <c r="D57" s="123"/>
      <c r="E57" s="123"/>
      <c r="F57" s="123"/>
      <c r="G57" s="123"/>
      <c r="H57" s="123"/>
      <c r="I57" s="123"/>
      <c r="J57" s="123"/>
      <c r="K57" s="123"/>
      <c r="L57" s="123"/>
      <c r="M57" s="123"/>
      <c r="N57" s="14"/>
      <c r="O57" s="14"/>
      <c r="P57" s="2"/>
      <c r="Q57" s="2"/>
      <c r="R57" s="2"/>
      <c r="S57" s="2"/>
      <c r="T57" s="2"/>
      <c r="U57" s="2"/>
      <c r="V57" s="2"/>
      <c r="W57" s="2"/>
      <c r="X57" s="2"/>
      <c r="Y57" s="2"/>
      <c r="Z57" s="2"/>
      <c r="AA57" s="2"/>
      <c r="AB57" s="2"/>
      <c r="AC57" s="14"/>
      <c r="AD57" s="14"/>
      <c r="AE57" s="14"/>
      <c r="AF57" s="14"/>
      <c r="AG57" s="14"/>
      <c r="AH57" s="14"/>
      <c r="AI57" s="14"/>
      <c r="AJ57" s="14"/>
      <c r="AK57" s="14"/>
      <c r="AL57" s="14"/>
      <c r="AM57" s="14"/>
      <c r="AN57" s="14"/>
      <c r="AO57" s="14"/>
      <c r="AP57" s="14"/>
      <c r="AQ57" s="14"/>
      <c r="AR57" s="2"/>
      <c r="AS57" s="2"/>
      <c r="AT57" s="2"/>
      <c r="AU57" s="2"/>
      <c r="AV57" s="2"/>
      <c r="AW57" s="2"/>
      <c r="AX57" s="2"/>
    </row>
    <row r="58" spans="1:59" ht="15" customHeight="1">
      <c r="A58" s="2"/>
      <c r="B58" s="2"/>
      <c r="C58" s="2"/>
      <c r="D58" s="119" t="str">
        <f>VLOOKUP(2250,ls!$B:$E,$BA$2,TRUE)</f>
        <v>现住所</v>
      </c>
      <c r="E58" s="119"/>
      <c r="F58" s="119"/>
      <c r="G58" s="119"/>
      <c r="H58" s="119"/>
      <c r="I58" s="61"/>
      <c r="J58" s="119" t="str">
        <f>AT43</f>
        <v/>
      </c>
      <c r="K58" s="119"/>
      <c r="L58" s="119"/>
      <c r="M58" s="119"/>
      <c r="N58" s="119"/>
      <c r="O58" s="119"/>
      <c r="P58" s="119"/>
      <c r="Q58" s="119"/>
      <c r="R58" s="119"/>
      <c r="S58" s="119"/>
      <c r="T58" s="119"/>
      <c r="U58" s="119"/>
      <c r="V58" s="119"/>
      <c r="W58" s="119"/>
      <c r="X58" s="119"/>
      <c r="Y58" s="119"/>
      <c r="Z58" s="119"/>
      <c r="AA58" s="119"/>
      <c r="AB58" s="119"/>
      <c r="AC58" s="19"/>
      <c r="AD58" s="119" t="str">
        <f>VLOOKUP(2260,ls!$B:$E,$BA$2,TRUE)</f>
        <v>电话号码</v>
      </c>
      <c r="AE58" s="119"/>
      <c r="AF58" s="119"/>
      <c r="AG58" s="119"/>
      <c r="AH58" s="61"/>
      <c r="AI58" s="170"/>
      <c r="AJ58" s="171"/>
      <c r="AK58" s="171"/>
      <c r="AL58" s="171"/>
      <c r="AM58" s="171"/>
      <c r="AN58" s="171"/>
      <c r="AO58" s="171"/>
      <c r="AP58" s="171"/>
      <c r="AQ58" s="171"/>
      <c r="AR58" s="2"/>
      <c r="AS58" s="2"/>
      <c r="AT58" s="2"/>
      <c r="AU58" s="2"/>
      <c r="AV58" s="2"/>
      <c r="AW58" s="2"/>
      <c r="AX58" s="2"/>
    </row>
    <row r="59" spans="1:59" ht="15" customHeight="1">
      <c r="A59" s="2"/>
      <c r="B59" s="2"/>
      <c r="C59" s="2"/>
      <c r="D59" s="123" t="str">
        <f>VLOOKUP(2250,ls!$B:$E,$BA$3,TRUE)</f>
        <v>Address</v>
      </c>
      <c r="E59" s="123"/>
      <c r="F59" s="123"/>
      <c r="G59" s="123"/>
      <c r="H59" s="123"/>
      <c r="I59" s="62"/>
      <c r="J59" s="161" t="str">
        <f>AT44</f>
        <v/>
      </c>
      <c r="K59" s="161"/>
      <c r="L59" s="161"/>
      <c r="M59" s="161"/>
      <c r="N59" s="161"/>
      <c r="O59" s="161"/>
      <c r="P59" s="161"/>
      <c r="Q59" s="161"/>
      <c r="R59" s="161"/>
      <c r="S59" s="161"/>
      <c r="T59" s="161"/>
      <c r="U59" s="161"/>
      <c r="V59" s="161"/>
      <c r="W59" s="161"/>
      <c r="X59" s="161"/>
      <c r="Y59" s="161"/>
      <c r="Z59" s="161"/>
      <c r="AA59" s="161"/>
      <c r="AB59" s="161"/>
      <c r="AC59" s="19"/>
      <c r="AD59" s="123" t="str">
        <f>VLOOKUP(2260,ls!$B:$E,$BA$3,TRUE)</f>
        <v>Phone</v>
      </c>
      <c r="AE59" s="123"/>
      <c r="AF59" s="123"/>
      <c r="AG59" s="123"/>
      <c r="AH59" s="62"/>
      <c r="AI59" s="175"/>
      <c r="AJ59" s="176"/>
      <c r="AK59" s="176"/>
      <c r="AL59" s="176"/>
      <c r="AM59" s="176"/>
      <c r="AN59" s="176"/>
      <c r="AO59" s="176"/>
      <c r="AP59" s="176"/>
      <c r="AQ59" s="176"/>
      <c r="AR59" s="2"/>
      <c r="AS59" s="2"/>
      <c r="AT59" s="2"/>
      <c r="AU59" s="2"/>
      <c r="AV59" s="2"/>
      <c r="AW59" s="2"/>
      <c r="AX59" s="2"/>
    </row>
    <row r="60" spans="1:59" ht="15" customHeight="1">
      <c r="A60" s="2"/>
      <c r="B60" s="2"/>
      <c r="C60" s="2"/>
      <c r="D60" s="3"/>
      <c r="E60" s="3"/>
      <c r="F60" s="2"/>
      <c r="G60" s="172" t="s">
        <v>12</v>
      </c>
      <c r="H60" s="124" t="str">
        <f>VLOOKUP(2270,ls!$B:$E,$BA$2,TRUE)</f>
        <v>户口所在地</v>
      </c>
      <c r="I60" s="124"/>
      <c r="J60" s="124"/>
      <c r="K60" s="124"/>
      <c r="L60" s="124"/>
      <c r="M60" s="124"/>
      <c r="N60" s="61"/>
      <c r="O60" s="119" t="str">
        <f>AV43</f>
        <v/>
      </c>
      <c r="P60" s="119"/>
      <c r="Q60" s="119"/>
      <c r="R60" s="119"/>
      <c r="S60" s="119"/>
      <c r="T60" s="119"/>
      <c r="U60" s="119"/>
      <c r="V60" s="119"/>
      <c r="W60" s="119"/>
      <c r="X60" s="119"/>
      <c r="Y60" s="119"/>
      <c r="Z60" s="119"/>
      <c r="AA60" s="119"/>
      <c r="AB60" s="119"/>
      <c r="AC60" s="119"/>
      <c r="AD60" s="119"/>
      <c r="AE60" s="119"/>
      <c r="AF60" s="119"/>
      <c r="AG60" s="119"/>
      <c r="AH60" s="124" t="s">
        <v>46</v>
      </c>
      <c r="AI60" s="2"/>
      <c r="AJ60" s="2"/>
      <c r="AK60" s="2"/>
      <c r="AL60" s="2"/>
      <c r="AM60" s="2"/>
      <c r="AN60" s="2"/>
      <c r="AO60" s="2"/>
      <c r="AP60" s="2"/>
      <c r="AQ60" s="2"/>
      <c r="AR60" s="2"/>
      <c r="AS60" s="2"/>
      <c r="AT60" s="2"/>
      <c r="AU60" s="2"/>
      <c r="AV60" s="2"/>
      <c r="AW60" s="2"/>
      <c r="AX60" s="2"/>
    </row>
    <row r="61" spans="1:59" ht="15" customHeight="1">
      <c r="A61" s="2"/>
      <c r="B61" s="2"/>
      <c r="C61" s="2"/>
      <c r="D61" s="3"/>
      <c r="E61" s="3"/>
      <c r="F61" s="2"/>
      <c r="G61" s="172"/>
      <c r="H61" s="124" t="str">
        <f>VLOOKUP(2270,ls!$B:$E,$BA$3,TRUE)</f>
        <v>Register address</v>
      </c>
      <c r="I61" s="124"/>
      <c r="J61" s="124"/>
      <c r="K61" s="124"/>
      <c r="L61" s="124"/>
      <c r="M61" s="124"/>
      <c r="N61" s="62"/>
      <c r="O61" s="161" t="str">
        <f>AV44</f>
        <v/>
      </c>
      <c r="P61" s="161"/>
      <c r="Q61" s="161"/>
      <c r="R61" s="161"/>
      <c r="S61" s="161"/>
      <c r="T61" s="161"/>
      <c r="U61" s="161"/>
      <c r="V61" s="161"/>
      <c r="W61" s="161"/>
      <c r="X61" s="161"/>
      <c r="Y61" s="161"/>
      <c r="Z61" s="161"/>
      <c r="AA61" s="161"/>
      <c r="AB61" s="161"/>
      <c r="AC61" s="161"/>
      <c r="AD61" s="161"/>
      <c r="AE61" s="161"/>
      <c r="AF61" s="161"/>
      <c r="AG61" s="161"/>
      <c r="AH61" s="124"/>
      <c r="AI61" s="2"/>
      <c r="AJ61" s="2"/>
      <c r="AK61" s="2"/>
      <c r="AL61" s="2"/>
      <c r="AM61" s="2"/>
      <c r="AN61" s="2"/>
      <c r="AO61" s="2"/>
      <c r="AP61" s="2"/>
      <c r="AQ61" s="2"/>
      <c r="AR61" s="2"/>
      <c r="AS61" s="2"/>
      <c r="AT61" s="2"/>
      <c r="AU61" s="2"/>
      <c r="AV61" s="2"/>
      <c r="AW61" s="2"/>
      <c r="AX61" s="2"/>
    </row>
    <row r="62" spans="1:59" ht="15" customHeight="1">
      <c r="A62" s="2"/>
      <c r="B62" s="2"/>
      <c r="C62" s="2"/>
      <c r="D62" s="119" t="str">
        <f>VLOOKUP(2280,ls!$B:$E,$BA$2,TRUE)</f>
        <v>姓名(签名)</v>
      </c>
      <c r="E62" s="119"/>
      <c r="F62" s="119"/>
      <c r="G62" s="119"/>
      <c r="H62" s="119"/>
      <c r="I62" s="119"/>
      <c r="J62" s="120"/>
      <c r="K62" s="120"/>
      <c r="L62" s="120"/>
      <c r="M62" s="120"/>
      <c r="N62" s="135"/>
      <c r="O62" s="120"/>
      <c r="P62" s="120"/>
      <c r="Q62" s="120"/>
      <c r="R62" s="120"/>
      <c r="S62" s="120"/>
      <c r="T62" s="120"/>
      <c r="U62" s="120"/>
      <c r="V62" s="120"/>
      <c r="W62" s="120"/>
      <c r="X62" s="120"/>
      <c r="Y62" s="120"/>
      <c r="Z62" s="120"/>
      <c r="AA62" s="120"/>
      <c r="AB62" s="120"/>
      <c r="AC62" s="19"/>
      <c r="AD62" s="119" t="str">
        <f>VLOOKUP(2290,ls!$B:$E,$BA$2,TRUE)</f>
        <v>关系</v>
      </c>
      <c r="AE62" s="119"/>
      <c r="AF62" s="119"/>
      <c r="AG62" s="119"/>
      <c r="AH62" s="61"/>
      <c r="AI62" s="119" t="str">
        <f>AV37</f>
        <v xml:space="preserve"> </v>
      </c>
      <c r="AJ62" s="119"/>
      <c r="AK62" s="119"/>
      <c r="AL62" s="119"/>
      <c r="AM62" s="119"/>
      <c r="AN62" s="119"/>
      <c r="AO62" s="119"/>
      <c r="AP62" s="119"/>
      <c r="AQ62" s="119"/>
      <c r="AR62" s="2"/>
      <c r="AS62" s="2"/>
      <c r="AT62" s="2"/>
      <c r="AU62" s="2"/>
      <c r="AV62" s="2"/>
      <c r="AW62" s="2"/>
      <c r="AX62" s="2"/>
    </row>
    <row r="63" spans="1:59" ht="15" customHeight="1">
      <c r="A63" s="2"/>
      <c r="B63" s="2"/>
      <c r="C63" s="2"/>
      <c r="D63" s="123" t="str">
        <f>VLOOKUP(2280,ls!$B:$E,$BA$3,TRUE)</f>
        <v>Name and Signature</v>
      </c>
      <c r="E63" s="123"/>
      <c r="F63" s="123"/>
      <c r="G63" s="123"/>
      <c r="H63" s="123"/>
      <c r="I63" s="123"/>
      <c r="J63" s="137"/>
      <c r="K63" s="137"/>
      <c r="L63" s="137"/>
      <c r="M63" s="137"/>
      <c r="N63" s="137"/>
      <c r="O63" s="137"/>
      <c r="P63" s="137"/>
      <c r="Q63" s="137"/>
      <c r="R63" s="137"/>
      <c r="S63" s="137"/>
      <c r="T63" s="137"/>
      <c r="U63" s="137"/>
      <c r="V63" s="137"/>
      <c r="W63" s="137"/>
      <c r="X63" s="137"/>
      <c r="Y63" s="137"/>
      <c r="Z63" s="137"/>
      <c r="AA63" s="137"/>
      <c r="AB63" s="137"/>
      <c r="AC63" s="19"/>
      <c r="AD63" s="123" t="str">
        <f>VLOOKUP(2290,ls!$B:$E,$BA$3,TRUE)</f>
        <v>Relationship</v>
      </c>
      <c r="AE63" s="123"/>
      <c r="AF63" s="123"/>
      <c r="AG63" s="123"/>
      <c r="AH63" s="61"/>
      <c r="AI63" s="174" t="str">
        <f>AV38</f>
        <v/>
      </c>
      <c r="AJ63" s="174"/>
      <c r="AK63" s="174"/>
      <c r="AL63" s="174"/>
      <c r="AM63" s="174"/>
      <c r="AN63" s="174"/>
      <c r="AO63" s="174"/>
      <c r="AP63" s="174"/>
      <c r="AQ63" s="174"/>
      <c r="AR63" s="2"/>
      <c r="AS63" s="2"/>
      <c r="AT63" s="2"/>
      <c r="AU63" s="2"/>
      <c r="AV63" s="2"/>
      <c r="AW63" s="2"/>
      <c r="AX63" s="2"/>
    </row>
    <row r="64" spans="1:59" ht="15" customHeight="1">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2"/>
      <c r="AS64" s="2"/>
      <c r="AT64" s="2"/>
      <c r="AU64" s="2"/>
      <c r="AV64" s="2"/>
      <c r="AW64" s="2"/>
      <c r="AX64" s="2"/>
    </row>
  </sheetData>
  <sheetProtection formatCells="0" selectLockedCells="1"/>
  <mergeCells count="101">
    <mergeCell ref="D62:I62"/>
    <mergeCell ref="J62:AB62"/>
    <mergeCell ref="AD62:AG62"/>
    <mergeCell ref="AI62:AQ62"/>
    <mergeCell ref="D63:I63"/>
    <mergeCell ref="J63:AB63"/>
    <mergeCell ref="AD63:AG63"/>
    <mergeCell ref="AI63:AQ63"/>
    <mergeCell ref="D59:H59"/>
    <mergeCell ref="J59:AB59"/>
    <mergeCell ref="AD59:AG59"/>
    <mergeCell ref="AI59:AQ59"/>
    <mergeCell ref="G60:G61"/>
    <mergeCell ref="H60:M60"/>
    <mergeCell ref="O60:AG60"/>
    <mergeCell ref="AH60:AH61"/>
    <mergeCell ref="H61:M61"/>
    <mergeCell ref="O61:AG61"/>
    <mergeCell ref="AI58:AQ58"/>
    <mergeCell ref="E53:AQ53"/>
    <mergeCell ref="AE54:AG54"/>
    <mergeCell ref="AJ54:AK54"/>
    <mergeCell ref="AN54:AO54"/>
    <mergeCell ref="B56:M56"/>
    <mergeCell ref="B57:M57"/>
    <mergeCell ref="D58:H58"/>
    <mergeCell ref="J58:AB58"/>
    <mergeCell ref="AD58:AG58"/>
    <mergeCell ref="AT54:AT55"/>
    <mergeCell ref="AE55:AG55"/>
    <mergeCell ref="AJ55:AK55"/>
    <mergeCell ref="AN55:AO55"/>
    <mergeCell ref="C45:D45"/>
    <mergeCell ref="E45:AQ45"/>
    <mergeCell ref="E46:AQ46"/>
    <mergeCell ref="AT46:BG46"/>
    <mergeCell ref="E47:AQ50"/>
    <mergeCell ref="AT47:BG50"/>
    <mergeCell ref="C44:D44"/>
    <mergeCell ref="E44:Q44"/>
    <mergeCell ref="S44:Z44"/>
    <mergeCell ref="AA44:AI44"/>
    <mergeCell ref="AJ44:AP44"/>
    <mergeCell ref="C43:D43"/>
    <mergeCell ref="E43:Q43"/>
    <mergeCell ref="S43:Z43"/>
    <mergeCell ref="AA43:AI43"/>
    <mergeCell ref="AJ43:AP43"/>
    <mergeCell ref="C40:AQ41"/>
    <mergeCell ref="C30:AQ30"/>
    <mergeCell ref="C31:AQ31"/>
    <mergeCell ref="E33:J33"/>
    <mergeCell ref="L33:T33"/>
    <mergeCell ref="C34:C35"/>
    <mergeCell ref="E34:J34"/>
    <mergeCell ref="L34:T34"/>
    <mergeCell ref="V34:AQ35"/>
    <mergeCell ref="E35:J35"/>
    <mergeCell ref="L35:T35"/>
    <mergeCell ref="C36:AQ37"/>
    <mergeCell ref="C38:C39"/>
    <mergeCell ref="D38:M38"/>
    <mergeCell ref="N38:AQ39"/>
    <mergeCell ref="D39:M39"/>
    <mergeCell ref="C22:AQ27"/>
    <mergeCell ref="AT22:BG27"/>
    <mergeCell ref="D11:H11"/>
    <mergeCell ref="I11:U12"/>
    <mergeCell ref="X11:AA11"/>
    <mergeCell ref="AB11:AM12"/>
    <mergeCell ref="D12:H12"/>
    <mergeCell ref="X12:AA12"/>
    <mergeCell ref="A14:AQ15"/>
    <mergeCell ref="A16:AQ17"/>
    <mergeCell ref="C19:AQ19"/>
    <mergeCell ref="C20:AQ21"/>
    <mergeCell ref="AT21:BG21"/>
    <mergeCell ref="AV44:BC44"/>
    <mergeCell ref="AV36:BC36"/>
    <mergeCell ref="AV37:BC37"/>
    <mergeCell ref="AV38:BC38"/>
    <mergeCell ref="AV42:BC42"/>
    <mergeCell ref="AV43:BC43"/>
    <mergeCell ref="A1:AQ2"/>
    <mergeCell ref="A3:AQ3"/>
    <mergeCell ref="A5:L6"/>
    <mergeCell ref="A7:L7"/>
    <mergeCell ref="D9:H9"/>
    <mergeCell ref="I9:U10"/>
    <mergeCell ref="X9:AA9"/>
    <mergeCell ref="AB9:AD9"/>
    <mergeCell ref="AE9:AF9"/>
    <mergeCell ref="AG9:AI9"/>
    <mergeCell ref="AJ9:AK9"/>
    <mergeCell ref="AL9:AN9"/>
    <mergeCell ref="AO9:AP9"/>
    <mergeCell ref="D10:H10"/>
    <mergeCell ref="X10:AA10"/>
    <mergeCell ref="AB10:AD10"/>
    <mergeCell ref="AG10:AI10"/>
    <mergeCell ref="AL10:AN10"/>
  </mergeCells>
  <phoneticPr fontId="3"/>
  <conditionalFormatting sqref="AT54">
    <cfRule type="containsText" dxfId="7" priority="2" operator="containsText" text="ERR">
      <formula>NOT(ISERROR(SEARCH("ERR",AT54)))</formula>
    </cfRule>
  </conditionalFormatting>
  <dataValidations count="1">
    <dataValidation type="whole" allowBlank="1" showErrorMessage="1" error="80,000～100,000" sqref="AA44:AI44" xr:uid="{464D8611-1E2F-4972-B0E8-49BB4FB41116}">
      <formula1>80000</formula1>
      <formula2>100000</formula2>
    </dataValidation>
  </dataValidations>
  <pageMargins left="0.59" right="0.59" top="0.59" bottom="0.59" header="0" footer="0"/>
  <pageSetup paperSize="9" scale="88" orientation="portrait" blackAndWhite="1"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FFE47-2FF4-472C-A4D6-89E32FCFAC33}">
  <sheetPr codeName="Sheet4">
    <pageSetUpPr fitToPage="1"/>
  </sheetPr>
  <dimension ref="A1:BI64"/>
  <sheetViews>
    <sheetView topLeftCell="A19" workbookViewId="0">
      <selection activeCell="AN1" sqref="AN1:AQ2"/>
    </sheetView>
  </sheetViews>
  <sheetFormatPr defaultColWidth="2" defaultRowHeight="15" customHeight="1"/>
  <cols>
    <col min="44" max="44" width="2" customWidth="1"/>
    <col min="45" max="45" width="17.5" hidden="1" customWidth="1"/>
    <col min="46" max="47" width="18.625" customWidth="1"/>
    <col min="48" max="48" width="1.75" customWidth="1"/>
    <col min="49" max="50" width="2.25" customWidth="1"/>
    <col min="51" max="52" width="1.75" customWidth="1"/>
    <col min="54" max="54" width="7.125" customWidth="1"/>
  </cols>
  <sheetData>
    <row r="1" spans="1:61" ht="15" customHeight="1">
      <c r="A1" s="3"/>
      <c r="B1" s="3"/>
      <c r="C1" s="3"/>
      <c r="D1" s="3"/>
      <c r="E1" s="3"/>
      <c r="F1" s="3"/>
      <c r="G1" s="114" t="str">
        <f>VLOOKUP(3000,ls!$B:$E,$BA$2,TRUE)</f>
        <v>入学願書</v>
      </c>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20" t="s">
        <v>47</v>
      </c>
      <c r="AM1" s="120"/>
      <c r="AN1" s="117"/>
      <c r="AO1" s="117"/>
      <c r="AP1" s="117"/>
      <c r="AQ1" s="117"/>
      <c r="AR1" s="64"/>
      <c r="AS1" s="3"/>
      <c r="AT1" s="19"/>
      <c r="AU1" s="3"/>
      <c r="AV1" s="3"/>
      <c r="AW1" s="3"/>
      <c r="AX1" s="19"/>
      <c r="AY1" s="3"/>
      <c r="AZ1" s="3"/>
      <c r="BA1" s="2" t="s">
        <v>48</v>
      </c>
      <c r="BB1" s="2"/>
      <c r="BC1" s="3"/>
      <c r="BD1" s="3"/>
      <c r="BE1" s="3"/>
      <c r="BF1" s="3"/>
      <c r="BG1" s="3"/>
      <c r="BH1" s="3"/>
      <c r="BI1" s="3"/>
    </row>
    <row r="2" spans="1:61" ht="15" customHeight="1">
      <c r="A2" s="3"/>
      <c r="B2" s="3"/>
      <c r="C2" s="3"/>
      <c r="D2" s="3"/>
      <c r="E2" s="3"/>
      <c r="F2" s="3"/>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20"/>
      <c r="AM2" s="120"/>
      <c r="AN2" s="177"/>
      <c r="AO2" s="177"/>
      <c r="AP2" s="177"/>
      <c r="AQ2" s="177"/>
      <c r="AR2" s="64"/>
      <c r="AS2" s="3"/>
      <c r="AT2" s="3"/>
      <c r="AU2" s="3"/>
      <c r="AV2" s="3"/>
      <c r="AW2" s="3"/>
      <c r="AX2" s="19"/>
      <c r="AY2" s="3"/>
      <c r="AZ2" s="3"/>
      <c r="BA2" s="57">
        <f>Resume!BA2</f>
        <v>4</v>
      </c>
      <c r="BB2" s="10" t="str">
        <f>Resume!BB2</f>
        <v>中文</v>
      </c>
      <c r="BC2" s="3"/>
      <c r="BD2" s="3"/>
      <c r="BE2" s="3"/>
      <c r="BF2" s="3"/>
      <c r="BG2" s="3"/>
      <c r="BH2" s="3"/>
      <c r="BI2" s="3"/>
    </row>
    <row r="3" spans="1:61" ht="15" customHeight="1">
      <c r="A3" s="3"/>
      <c r="B3" s="3"/>
      <c r="C3" s="3"/>
      <c r="D3" s="3"/>
      <c r="E3" s="3"/>
      <c r="F3" s="3"/>
      <c r="G3" s="120" t="s">
        <v>49</v>
      </c>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3"/>
      <c r="AM3" s="3"/>
      <c r="AN3" s="3"/>
      <c r="AO3" s="3"/>
      <c r="AP3" s="3"/>
      <c r="AQ3" s="3"/>
      <c r="AR3" s="64"/>
      <c r="AS3" s="3"/>
      <c r="AT3" s="3"/>
      <c r="AU3" s="3"/>
      <c r="AV3" s="3"/>
      <c r="AW3" s="3"/>
      <c r="AX3" s="19"/>
      <c r="AY3" s="3"/>
      <c r="AZ3" s="3"/>
      <c r="BA3" s="57">
        <f>Resume!BA3</f>
        <v>3</v>
      </c>
      <c r="BB3" s="10" t="str">
        <f>Resume!BB3</f>
        <v>English</v>
      </c>
      <c r="BC3" s="3"/>
      <c r="BD3" s="3"/>
      <c r="BE3" s="3"/>
      <c r="BF3" s="3"/>
      <c r="BG3" s="3"/>
      <c r="BH3" s="3"/>
      <c r="BI3" s="3"/>
    </row>
    <row r="4" spans="1:61" ht="6.9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64"/>
      <c r="AS4" s="3"/>
      <c r="AT4" s="3"/>
      <c r="AU4" s="3"/>
      <c r="AV4" s="3"/>
      <c r="AW4" s="3"/>
      <c r="AX4" s="19"/>
      <c r="AY4" s="3"/>
      <c r="AZ4" s="3"/>
      <c r="BA4" s="3"/>
      <c r="BB4" s="3"/>
      <c r="BC4" s="3"/>
      <c r="BD4" s="3"/>
      <c r="BE4" s="3"/>
      <c r="BF4" s="3"/>
      <c r="BG4" s="3"/>
      <c r="BH4" s="3"/>
      <c r="BI4" s="3"/>
    </row>
    <row r="5" spans="1:61" ht="15" customHeight="1">
      <c r="A5" s="3"/>
      <c r="B5" s="3"/>
      <c r="C5" s="3"/>
      <c r="D5" s="3"/>
      <c r="E5" s="3"/>
      <c r="F5" s="3"/>
      <c r="G5" s="3"/>
      <c r="H5" s="178" t="str">
        <f>VLOOKUP(3010,ls!$B:$E,$BA$2,TRUE)</f>
        <v>请选择学校</v>
      </c>
      <c r="I5" s="178"/>
      <c r="J5" s="178"/>
      <c r="K5" s="178"/>
      <c r="L5" s="178"/>
      <c r="M5" s="179" t="str">
        <f>Resume!A1</f>
        <v>東京学士学院</v>
      </c>
      <c r="N5" s="179"/>
      <c r="O5" s="179"/>
      <c r="P5" s="179"/>
      <c r="Q5" s="179"/>
      <c r="R5" s="179"/>
      <c r="S5" s="179"/>
      <c r="T5" s="179"/>
      <c r="U5" s="179"/>
      <c r="V5" s="179"/>
      <c r="W5" s="179"/>
      <c r="X5" s="179"/>
      <c r="Y5" s="179"/>
      <c r="Z5" s="179"/>
      <c r="AA5" s="179"/>
      <c r="AB5" s="179"/>
      <c r="AC5" s="179"/>
      <c r="AD5" s="179"/>
      <c r="AE5" s="179"/>
      <c r="AF5" s="65"/>
      <c r="AG5" s="3"/>
      <c r="AH5" s="3"/>
      <c r="AI5" s="3"/>
      <c r="AJ5" s="3"/>
      <c r="AK5" s="3"/>
      <c r="AL5" s="3"/>
      <c r="AM5" s="3"/>
      <c r="AN5" s="3"/>
      <c r="AO5" s="3"/>
      <c r="AP5" s="3"/>
      <c r="AQ5" s="3"/>
      <c r="AR5" s="64"/>
      <c r="AS5" s="3"/>
      <c r="AT5" s="3"/>
      <c r="AU5" s="3"/>
      <c r="AV5" s="3"/>
      <c r="AW5" s="3"/>
      <c r="AX5" s="19"/>
      <c r="AY5" s="3"/>
      <c r="AZ5" s="3"/>
      <c r="BA5" s="3"/>
      <c r="BB5" s="3"/>
      <c r="BC5" s="3"/>
      <c r="BD5" s="3"/>
      <c r="BE5" s="3"/>
      <c r="BF5" s="3"/>
      <c r="BG5" s="3"/>
      <c r="BH5" s="3"/>
      <c r="BI5" s="3"/>
    </row>
    <row r="6" spans="1:61" ht="15" customHeight="1">
      <c r="A6" s="3"/>
      <c r="B6" s="3"/>
      <c r="C6" s="3"/>
      <c r="D6" s="3"/>
      <c r="E6" s="3"/>
      <c r="F6" s="3"/>
      <c r="G6" s="3"/>
      <c r="H6" s="178" t="str">
        <f>VLOOKUP(3010,ls!$B:$E,$BA$3,TRUE)</f>
        <v>School</v>
      </c>
      <c r="I6" s="178"/>
      <c r="J6" s="178"/>
      <c r="K6" s="178"/>
      <c r="L6" s="178"/>
      <c r="M6" s="179" t="str">
        <f>Resume!X1</f>
        <v>Tokyo Bachelor College</v>
      </c>
      <c r="N6" s="179"/>
      <c r="O6" s="179"/>
      <c r="P6" s="179"/>
      <c r="Q6" s="179"/>
      <c r="R6" s="179"/>
      <c r="S6" s="179"/>
      <c r="T6" s="179"/>
      <c r="U6" s="179"/>
      <c r="V6" s="179"/>
      <c r="W6" s="179"/>
      <c r="X6" s="179"/>
      <c r="Y6" s="179"/>
      <c r="Z6" s="179"/>
      <c r="AA6" s="179"/>
      <c r="AB6" s="179"/>
      <c r="AC6" s="179"/>
      <c r="AD6" s="179"/>
      <c r="AE6" s="179"/>
      <c r="AF6" s="65"/>
      <c r="AG6" s="3"/>
      <c r="AH6" s="3"/>
      <c r="AI6" s="3"/>
      <c r="AJ6" s="3"/>
      <c r="AK6" s="3"/>
      <c r="AL6" s="3"/>
      <c r="AM6" s="3"/>
      <c r="AN6" s="3"/>
      <c r="AO6" s="3"/>
      <c r="AP6" s="3"/>
      <c r="AQ6" s="3"/>
      <c r="AR6" s="64"/>
      <c r="AS6" s="3"/>
      <c r="AT6" s="3"/>
      <c r="AU6" s="3"/>
      <c r="AV6" s="3"/>
      <c r="AW6" s="3"/>
      <c r="AX6" s="19"/>
      <c r="AY6" s="3"/>
      <c r="AZ6" s="3"/>
      <c r="BA6" s="57">
        <f>Resume!BA7</f>
        <v>2</v>
      </c>
      <c r="BB6" s="10" t="str">
        <f>Resume!BB7</f>
        <v>東京学士学院</v>
      </c>
      <c r="BC6" s="3"/>
      <c r="BD6" s="3"/>
      <c r="BE6" s="3"/>
      <c r="BF6" s="3"/>
      <c r="BG6" s="3"/>
      <c r="BH6" s="3"/>
      <c r="BI6" s="3"/>
    </row>
    <row r="7" spans="1:61" ht="6.95" customHeight="1">
      <c r="A7" s="3"/>
      <c r="B7" s="3"/>
      <c r="C7" s="3"/>
      <c r="D7" s="3"/>
      <c r="E7" s="3"/>
      <c r="F7" s="3"/>
      <c r="G7" s="3"/>
      <c r="H7" s="66"/>
      <c r="I7" s="66"/>
      <c r="J7" s="66"/>
      <c r="K7" s="66"/>
      <c r="L7" s="66"/>
      <c r="M7" s="66"/>
      <c r="N7" s="66"/>
      <c r="O7" s="66"/>
      <c r="P7" s="66"/>
      <c r="Q7" s="66"/>
      <c r="R7" s="66"/>
      <c r="S7" s="66"/>
      <c r="T7" s="66"/>
      <c r="U7" s="66"/>
      <c r="V7" s="66"/>
      <c r="W7" s="66"/>
      <c r="X7" s="66"/>
      <c r="Y7" s="66"/>
      <c r="Z7" s="66"/>
      <c r="AA7" s="66"/>
      <c r="AB7" s="66"/>
      <c r="AC7" s="66"/>
      <c r="AD7" s="66"/>
      <c r="AE7" s="66"/>
      <c r="AF7" s="65"/>
      <c r="AG7" s="65"/>
      <c r="AH7" s="3"/>
      <c r="AI7" s="3"/>
      <c r="AJ7" s="3"/>
      <c r="AK7" s="3"/>
      <c r="AL7" s="3"/>
      <c r="AM7" s="3"/>
      <c r="AN7" s="3"/>
      <c r="AO7" s="3"/>
      <c r="AP7" s="3"/>
      <c r="AQ7" s="3"/>
      <c r="AR7" s="64"/>
      <c r="AS7" s="3"/>
      <c r="AT7" s="3"/>
      <c r="AU7" s="3"/>
      <c r="AV7" s="3"/>
      <c r="AW7" s="3"/>
      <c r="AX7" s="19"/>
      <c r="AY7" s="3"/>
      <c r="AZ7" s="3"/>
      <c r="BA7" s="3"/>
      <c r="BB7" s="3"/>
      <c r="BC7" s="3"/>
      <c r="BD7" s="3"/>
      <c r="BE7" s="3"/>
      <c r="BF7" s="3"/>
      <c r="BG7" s="3"/>
      <c r="BH7" s="3"/>
      <c r="BI7" s="3"/>
    </row>
    <row r="8" spans="1:61" ht="15" customHeight="1">
      <c r="A8" s="3"/>
      <c r="B8" s="3"/>
      <c r="C8" s="3"/>
      <c r="D8" s="3"/>
      <c r="E8" s="3"/>
      <c r="F8" s="3"/>
      <c r="G8" s="3"/>
      <c r="H8" s="3"/>
      <c r="I8" s="3"/>
      <c r="J8" s="130" t="str">
        <f>VLOOKUP(3020,ls!$B:$E,$BA$2,TRUE)</f>
        <v>入学希望</v>
      </c>
      <c r="K8" s="130"/>
      <c r="L8" s="130"/>
      <c r="M8" s="130"/>
      <c r="N8" s="195"/>
      <c r="O8" s="195"/>
      <c r="P8" s="195"/>
      <c r="Q8" s="195"/>
      <c r="R8" s="195"/>
      <c r="S8" s="67" t="str">
        <f>VLOOKUP(3030,ls!$B:$E,$BA$2,TRUE)</f>
        <v>年</v>
      </c>
      <c r="T8" s="195"/>
      <c r="U8" s="195"/>
      <c r="V8" s="195"/>
      <c r="W8" s="67" t="str">
        <f>VLOOKUP(3040,ls!$B:$E,$BA$2,TRUE)</f>
        <v>月</v>
      </c>
      <c r="X8" s="3"/>
      <c r="Y8" s="130" t="str">
        <f>VLOOKUP(3060,ls!$B:$E,$BA$2,TRUE)</f>
        <v>学習期間</v>
      </c>
      <c r="Z8" s="130"/>
      <c r="AA8" s="130"/>
      <c r="AB8" s="130"/>
      <c r="AC8" s="150" t="str">
        <f>IF(T8=4,2,IF(OR(T8=1,T8=7,T8=10),1,""))</f>
        <v/>
      </c>
      <c r="AD8" s="150"/>
      <c r="AE8" s="67" t="str">
        <f>VLOOKUP(3030,ls!$B:$E,$BA$2,TRUE)</f>
        <v>年</v>
      </c>
      <c r="AF8" s="150" t="str">
        <f>IF(T8=4,"",IF(T8=7,9,IF(T8=10,6,IF(T8=1,3,""))))</f>
        <v/>
      </c>
      <c r="AG8" s="150"/>
      <c r="AH8" s="67" t="str">
        <f>VLOOKUP(3040,ls!$B:$E,$BA$2,TRUE)</f>
        <v>月</v>
      </c>
      <c r="AI8" s="3"/>
      <c r="AJ8" s="3"/>
      <c r="AK8" s="3"/>
      <c r="AL8" s="3"/>
      <c r="AM8" s="3"/>
      <c r="AN8" s="3"/>
      <c r="AO8" s="3"/>
      <c r="AP8" s="3"/>
      <c r="AQ8" s="3"/>
      <c r="AR8" s="64"/>
      <c r="AS8" s="3"/>
      <c r="AT8" s="3"/>
      <c r="AU8" s="3"/>
      <c r="AV8" s="3"/>
      <c r="AW8" s="3"/>
      <c r="AX8" s="19"/>
      <c r="AY8" s="3"/>
      <c r="AZ8" s="3"/>
      <c r="BA8" s="3"/>
      <c r="BB8" s="3"/>
      <c r="BC8" s="3"/>
      <c r="BD8" s="3"/>
      <c r="BE8" s="3"/>
      <c r="BF8" s="3"/>
      <c r="BG8" s="3"/>
      <c r="BH8" s="3"/>
      <c r="BI8" s="3"/>
    </row>
    <row r="9" spans="1:61" ht="15" customHeight="1">
      <c r="A9" s="3"/>
      <c r="B9" s="3"/>
      <c r="C9" s="3"/>
      <c r="D9" s="3"/>
      <c r="E9" s="3"/>
      <c r="F9" s="3"/>
      <c r="G9" s="3"/>
      <c r="H9" s="3"/>
      <c r="I9" s="3"/>
      <c r="J9" s="130" t="str">
        <f>VLOOKUP(3020,ls!$B:$E,$BA$3,TRUE)</f>
        <v>Date of Enrollment</v>
      </c>
      <c r="K9" s="130"/>
      <c r="L9" s="130"/>
      <c r="M9" s="130"/>
      <c r="N9" s="195"/>
      <c r="O9" s="195"/>
      <c r="P9" s="195"/>
      <c r="Q9" s="195"/>
      <c r="R9" s="195"/>
      <c r="S9" s="68" t="str">
        <f>VLOOKUP(3030,ls!$B:$E,$BA$3,TRUE)</f>
        <v>Y</v>
      </c>
      <c r="T9" s="195"/>
      <c r="U9" s="195"/>
      <c r="V9" s="195"/>
      <c r="W9" s="68" t="str">
        <f>VLOOKUP(3040,ls!$B:$E,$BA$3,TRUE)</f>
        <v>M</v>
      </c>
      <c r="X9" s="3"/>
      <c r="Y9" s="180" t="str">
        <f>VLOOKUP(3060,ls!$B:$E,$BA$3,TRUE)</f>
        <v>Intended Length of Study</v>
      </c>
      <c r="Z9" s="180"/>
      <c r="AA9" s="180"/>
      <c r="AB9" s="180"/>
      <c r="AC9" s="150"/>
      <c r="AD9" s="150"/>
      <c r="AE9" s="68" t="str">
        <f>VLOOKUP(3030,ls!$B:$E,$BA$3,TRUE)</f>
        <v>Y</v>
      </c>
      <c r="AF9" s="150"/>
      <c r="AG9" s="150"/>
      <c r="AH9" s="68" t="str">
        <f>VLOOKUP(3040,ls!$B:$E,$BA$3,TRUE)</f>
        <v>M</v>
      </c>
      <c r="AI9" s="3"/>
      <c r="AJ9" s="3"/>
      <c r="AK9" s="3"/>
      <c r="AL9" s="3"/>
      <c r="AM9" s="3"/>
      <c r="AN9" s="3"/>
      <c r="AO9" s="3"/>
      <c r="AP9" s="3"/>
      <c r="AQ9" s="3"/>
      <c r="AR9" s="64"/>
      <c r="AS9" s="181" t="str">
        <f>IF( IF(VLOOKUP(BA6,baseinfo!$B:$D,3,TRUE),OR(T8=4,T8=7,T8=10,T8=1),OR(T8=4,T8=10)),"","*"&amp;VLOOKUP(3070,ls!$B:$E,$BA$2,TRUE)&amp;" / "&amp;VLOOKUP(3070,ls!$B:$E,$BA$3,TRUE))</f>
        <v>*入学月不正当 / ERROR [ Date of Enrollment "M" ]</v>
      </c>
      <c r="AT9" s="181"/>
      <c r="AU9" s="181"/>
      <c r="AV9" s="3"/>
      <c r="AW9" s="3"/>
      <c r="AX9" s="3"/>
      <c r="AY9" s="3"/>
      <c r="AZ9" s="3"/>
      <c r="BA9" s="3"/>
      <c r="BB9" s="3"/>
      <c r="BC9" s="3"/>
      <c r="BD9" s="3"/>
      <c r="BE9" s="3"/>
      <c r="BF9" s="3"/>
      <c r="BG9" s="3"/>
      <c r="BH9" s="3"/>
      <c r="BI9" s="3"/>
    </row>
    <row r="10" spans="1:61" ht="6.95" customHeight="1">
      <c r="A10" s="3"/>
      <c r="B10" s="3"/>
      <c r="C10" s="3"/>
      <c r="D10" s="3"/>
      <c r="E10" s="3"/>
      <c r="F10" s="3"/>
      <c r="G10" s="3"/>
      <c r="H10" s="3"/>
      <c r="I10" s="3"/>
      <c r="J10" s="19"/>
      <c r="K10" s="19"/>
      <c r="L10" s="19"/>
      <c r="M10" s="19"/>
      <c r="N10" s="2"/>
      <c r="O10" s="2"/>
      <c r="P10" s="2"/>
      <c r="Q10" s="2"/>
      <c r="R10" s="2"/>
      <c r="S10" s="2"/>
      <c r="T10" s="2"/>
      <c r="U10" s="2"/>
      <c r="V10" s="2"/>
      <c r="W10" s="2"/>
      <c r="X10" s="3"/>
      <c r="Y10" s="19"/>
      <c r="Z10" s="19"/>
      <c r="AA10" s="19"/>
      <c r="AB10" s="19"/>
      <c r="AC10" s="2"/>
      <c r="AD10" s="2"/>
      <c r="AE10" s="2"/>
      <c r="AF10" s="2"/>
      <c r="AG10" s="2"/>
      <c r="AH10" s="2"/>
      <c r="AI10" s="3"/>
      <c r="AJ10" s="3"/>
      <c r="AK10" s="3"/>
      <c r="AL10" s="3"/>
      <c r="AM10" s="3"/>
      <c r="AN10" s="3"/>
      <c r="AO10" s="3"/>
      <c r="AP10" s="3"/>
      <c r="AQ10" s="3"/>
      <c r="AR10" s="64"/>
      <c r="AS10" s="3"/>
      <c r="AT10" s="3"/>
      <c r="AU10" s="3"/>
      <c r="AV10" s="3"/>
      <c r="AW10" s="3"/>
      <c r="AX10" s="19"/>
      <c r="AY10" s="3"/>
      <c r="AZ10" s="3"/>
      <c r="BA10" s="3"/>
      <c r="BB10" s="3"/>
      <c r="BC10" s="3"/>
      <c r="BD10" s="3"/>
      <c r="BE10" s="3"/>
      <c r="BF10" s="3"/>
      <c r="BG10" s="3"/>
      <c r="BH10" s="3"/>
      <c r="BI10" s="3"/>
    </row>
    <row r="11" spans="1:61" ht="15" customHeight="1">
      <c r="A11" s="69" t="s">
        <v>50</v>
      </c>
      <c r="B11" s="159" t="str">
        <f>VLOOKUP(3080,ls!$B:$E,$BA$2,TRUE) &amp; "("&amp;VLOOKUP(3080,ls!$B:$E,$BA$3,TRUE)&amp;")"</f>
        <v>申请者(Applicants)</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82"/>
      <c r="AR11" s="64"/>
      <c r="AS11" s="3"/>
      <c r="AT11" s="3"/>
      <c r="AU11" s="3"/>
      <c r="AV11" s="3"/>
      <c r="AW11" s="3"/>
      <c r="AX11" s="19"/>
      <c r="AY11" s="3"/>
      <c r="AZ11" s="3"/>
      <c r="BA11" s="3"/>
      <c r="BB11" s="3"/>
      <c r="BC11" s="3"/>
      <c r="BD11" s="3"/>
      <c r="BE11" s="3"/>
      <c r="BF11" s="3"/>
      <c r="BG11" s="3"/>
      <c r="BH11" s="3"/>
      <c r="BI11" s="3"/>
    </row>
    <row r="12" spans="1:61" ht="15" customHeight="1">
      <c r="A12" s="183" t="str">
        <f>VLOOKUP(3015,ls!$B:$E,$BA$2,TRUE)&amp;"("&amp;VLOOKUP(3015,ls!$B:$E,$BA$3,TRUE)&amp;")"</f>
        <v>介绍人(Introducer)</v>
      </c>
      <c r="B12" s="184"/>
      <c r="C12" s="184"/>
      <c r="D12" s="184"/>
      <c r="E12" s="184"/>
      <c r="F12" s="184"/>
      <c r="G12" s="184"/>
      <c r="H12" s="184"/>
      <c r="I12" s="184"/>
      <c r="J12" s="184"/>
      <c r="K12" s="184"/>
      <c r="L12" s="184"/>
      <c r="M12" s="184"/>
      <c r="N12" s="184"/>
      <c r="O12" s="184"/>
      <c r="P12" s="185"/>
      <c r="Q12" s="189"/>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1"/>
      <c r="AR12" s="2"/>
      <c r="AS12" s="3"/>
      <c r="AT12" s="3"/>
      <c r="AU12" s="3"/>
      <c r="AV12" s="3"/>
      <c r="AW12" s="3"/>
      <c r="AX12" s="19"/>
      <c r="AY12" s="3"/>
      <c r="AZ12" s="3"/>
      <c r="BA12" s="3"/>
      <c r="BB12" s="3"/>
      <c r="BC12" s="3"/>
      <c r="BD12" s="3"/>
      <c r="BE12" s="3"/>
      <c r="BF12" s="3"/>
      <c r="BG12" s="3"/>
      <c r="BH12" s="3"/>
      <c r="BI12" s="3"/>
    </row>
    <row r="13" spans="1:61" ht="15" customHeight="1">
      <c r="A13" s="186"/>
      <c r="B13" s="187"/>
      <c r="C13" s="187"/>
      <c r="D13" s="187"/>
      <c r="E13" s="187"/>
      <c r="F13" s="187"/>
      <c r="G13" s="187"/>
      <c r="H13" s="187"/>
      <c r="I13" s="187"/>
      <c r="J13" s="187"/>
      <c r="K13" s="187"/>
      <c r="L13" s="187"/>
      <c r="M13" s="187"/>
      <c r="N13" s="187"/>
      <c r="O13" s="187"/>
      <c r="P13" s="188"/>
      <c r="Q13" s="192"/>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4"/>
      <c r="AR13" s="2"/>
      <c r="AS13" s="3"/>
      <c r="AT13" s="3"/>
      <c r="AU13" s="3"/>
      <c r="AV13" s="3"/>
      <c r="AW13" s="3"/>
      <c r="AX13" s="19"/>
      <c r="AY13" s="3"/>
      <c r="AZ13" s="3"/>
      <c r="BA13" s="3"/>
      <c r="BB13" s="3"/>
      <c r="BC13" s="3"/>
      <c r="BD13" s="3"/>
      <c r="BE13" s="3"/>
      <c r="BF13" s="3"/>
      <c r="BG13" s="3"/>
      <c r="BH13" s="3"/>
      <c r="BI13" s="3"/>
    </row>
    <row r="14" spans="1:61" ht="15" customHeight="1">
      <c r="A14" s="206"/>
      <c r="B14" s="206"/>
      <c r="C14" s="206"/>
      <c r="D14" s="206"/>
      <c r="E14" s="207" t="str">
        <f>VLOOKUP(3090,ls!$B:$E,$BA$2,TRUE) &amp; "("&amp;VLOOKUP(3090,ls!$B:$E,$BA$3,TRUE)&amp;")"</f>
        <v>姓(Family name)</v>
      </c>
      <c r="F14" s="208"/>
      <c r="G14" s="208"/>
      <c r="H14" s="208"/>
      <c r="I14" s="208"/>
      <c r="J14" s="208"/>
      <c r="K14" s="208"/>
      <c r="L14" s="208"/>
      <c r="M14" s="208"/>
      <c r="N14" s="208"/>
      <c r="O14" s="208"/>
      <c r="P14" s="209"/>
      <c r="Q14" s="210" t="str">
        <f>VLOOKUP(3100,ls!$B:$E,$BA$2,TRUE)&amp; "("&amp;VLOOKUP(3100,ls!$B:$E,$BA$3,TRUE)&amp;")"</f>
        <v>名(Middle Name, Given name)</v>
      </c>
      <c r="R14" s="208"/>
      <c r="S14" s="208"/>
      <c r="T14" s="208"/>
      <c r="U14" s="208"/>
      <c r="V14" s="208"/>
      <c r="W14" s="208"/>
      <c r="X14" s="208"/>
      <c r="Y14" s="208"/>
      <c r="Z14" s="208"/>
      <c r="AA14" s="208"/>
      <c r="AB14" s="208"/>
      <c r="AC14" s="208"/>
      <c r="AD14" s="208"/>
      <c r="AE14" s="208"/>
      <c r="AF14" s="208"/>
      <c r="AG14" s="208"/>
      <c r="AH14" s="208"/>
      <c r="AI14" s="211"/>
      <c r="AJ14" s="212"/>
      <c r="AK14" s="213"/>
      <c r="AL14" s="213"/>
      <c r="AM14" s="213"/>
      <c r="AN14" s="213"/>
      <c r="AO14" s="213"/>
      <c r="AP14" s="213"/>
      <c r="AQ14" s="214"/>
      <c r="AR14" s="2"/>
      <c r="AS14" s="3"/>
      <c r="AT14" s="3"/>
      <c r="AU14" s="3"/>
      <c r="AV14" s="3"/>
      <c r="AW14" s="3"/>
      <c r="AX14" s="19"/>
      <c r="AY14" s="3"/>
      <c r="AZ14" s="3"/>
      <c r="BA14" s="3"/>
      <c r="BB14" s="3"/>
      <c r="BC14" s="3"/>
      <c r="BD14" s="3"/>
      <c r="BE14" s="3"/>
      <c r="BF14" s="3"/>
      <c r="BG14" s="3"/>
      <c r="BH14" s="3"/>
      <c r="BI14" s="3"/>
    </row>
    <row r="15" spans="1:61" ht="15" customHeight="1">
      <c r="A15" s="206" t="str">
        <f>VLOOKUP(3110,ls!$B:$E,$BA$2,TRUE)</f>
        <v>漢字</v>
      </c>
      <c r="B15" s="206"/>
      <c r="C15" s="206"/>
      <c r="D15" s="206"/>
      <c r="E15" s="150" t="str">
        <f>IF(Resume!AA7&lt;&gt;"",Resume!AA7,"")</f>
        <v/>
      </c>
      <c r="F15" s="150"/>
      <c r="G15" s="150"/>
      <c r="H15" s="150"/>
      <c r="I15" s="150"/>
      <c r="J15" s="150"/>
      <c r="K15" s="150"/>
      <c r="L15" s="150"/>
      <c r="M15" s="150"/>
      <c r="N15" s="150"/>
      <c r="O15" s="150"/>
      <c r="P15" s="215"/>
      <c r="Q15" s="211" t="str">
        <f>IF(Resume!AH7&lt;&gt;"",Resume!AH7,"")</f>
        <v/>
      </c>
      <c r="R15" s="150"/>
      <c r="S15" s="150"/>
      <c r="T15" s="150"/>
      <c r="U15" s="150"/>
      <c r="V15" s="150"/>
      <c r="W15" s="150"/>
      <c r="X15" s="150"/>
      <c r="Y15" s="150"/>
      <c r="Z15" s="150"/>
      <c r="AA15" s="150"/>
      <c r="AB15" s="150"/>
      <c r="AC15" s="150"/>
      <c r="AD15" s="150"/>
      <c r="AE15" s="150"/>
      <c r="AF15" s="150"/>
      <c r="AG15" s="150"/>
      <c r="AH15" s="150"/>
      <c r="AI15" s="150"/>
      <c r="AJ15" s="202"/>
      <c r="AK15" s="203"/>
      <c r="AL15" s="203"/>
      <c r="AM15" s="203"/>
      <c r="AN15" s="203"/>
      <c r="AO15" s="203"/>
      <c r="AP15" s="203"/>
      <c r="AQ15" s="204"/>
      <c r="AR15" s="2"/>
      <c r="AS15" s="3"/>
      <c r="AT15" s="3"/>
      <c r="AU15" s="3"/>
      <c r="AV15" s="3"/>
      <c r="AW15" s="3"/>
      <c r="AX15" s="19"/>
      <c r="AY15" s="3"/>
      <c r="AZ15" s="3"/>
      <c r="BA15" s="3"/>
      <c r="BB15" s="3"/>
      <c r="BC15" s="3"/>
      <c r="BD15" s="3"/>
      <c r="BE15" s="3"/>
      <c r="BF15" s="3"/>
      <c r="BG15" s="3"/>
      <c r="BH15" s="3"/>
      <c r="BI15" s="3"/>
    </row>
    <row r="16" spans="1:61" ht="15" customHeight="1">
      <c r="A16" s="219" t="str">
        <f>VLOOKUP(3110,ls!$B:$E,$BA$3,TRUE)</f>
        <v>Kanji</v>
      </c>
      <c r="B16" s="219"/>
      <c r="C16" s="219"/>
      <c r="D16" s="219"/>
      <c r="E16" s="216"/>
      <c r="F16" s="216"/>
      <c r="G16" s="216"/>
      <c r="H16" s="216"/>
      <c r="I16" s="216"/>
      <c r="J16" s="216"/>
      <c r="K16" s="216"/>
      <c r="L16" s="216"/>
      <c r="M16" s="216"/>
      <c r="N16" s="216"/>
      <c r="O16" s="216"/>
      <c r="P16" s="217"/>
      <c r="Q16" s="218"/>
      <c r="R16" s="216"/>
      <c r="S16" s="216"/>
      <c r="T16" s="216"/>
      <c r="U16" s="216"/>
      <c r="V16" s="216"/>
      <c r="W16" s="216"/>
      <c r="X16" s="216"/>
      <c r="Y16" s="216"/>
      <c r="Z16" s="216"/>
      <c r="AA16" s="216"/>
      <c r="AB16" s="216"/>
      <c r="AC16" s="216"/>
      <c r="AD16" s="216"/>
      <c r="AE16" s="216"/>
      <c r="AF16" s="216"/>
      <c r="AG16" s="216"/>
      <c r="AH16" s="216"/>
      <c r="AI16" s="216"/>
      <c r="AJ16" s="202"/>
      <c r="AK16" s="203"/>
      <c r="AL16" s="203"/>
      <c r="AM16" s="203"/>
      <c r="AN16" s="203"/>
      <c r="AO16" s="203"/>
      <c r="AP16" s="203"/>
      <c r="AQ16" s="204"/>
      <c r="AR16" s="2"/>
      <c r="AS16" s="3"/>
      <c r="AT16" s="3"/>
      <c r="AU16" s="3"/>
      <c r="AV16" s="3"/>
      <c r="AW16" s="3"/>
      <c r="AX16" s="19"/>
      <c r="AY16" s="3"/>
      <c r="AZ16" s="3"/>
      <c r="BA16" s="3"/>
      <c r="BB16" s="3"/>
      <c r="BC16" s="3"/>
      <c r="BD16" s="3"/>
      <c r="BE16" s="3"/>
      <c r="BF16" s="3"/>
      <c r="BG16" s="3"/>
      <c r="BH16" s="3"/>
      <c r="BI16" s="3"/>
    </row>
    <row r="17" spans="1:61" ht="15" customHeight="1">
      <c r="A17" s="196" t="str">
        <f>VLOOKUP(3120,ls!$B:$E,$BA$3,TRUE)</f>
        <v>English</v>
      </c>
      <c r="B17" s="196"/>
      <c r="C17" s="196"/>
      <c r="D17" s="196"/>
      <c r="E17" s="197"/>
      <c r="F17" s="197"/>
      <c r="G17" s="197"/>
      <c r="H17" s="197"/>
      <c r="I17" s="197"/>
      <c r="J17" s="197"/>
      <c r="K17" s="197"/>
      <c r="L17" s="197"/>
      <c r="M17" s="197"/>
      <c r="N17" s="197"/>
      <c r="O17" s="197"/>
      <c r="P17" s="198"/>
      <c r="Q17" s="200"/>
      <c r="R17" s="197"/>
      <c r="S17" s="197"/>
      <c r="T17" s="197"/>
      <c r="U17" s="197"/>
      <c r="V17" s="197"/>
      <c r="W17" s="197"/>
      <c r="X17" s="197"/>
      <c r="Y17" s="197"/>
      <c r="Z17" s="197"/>
      <c r="AA17" s="197"/>
      <c r="AB17" s="197"/>
      <c r="AC17" s="197"/>
      <c r="AD17" s="197"/>
      <c r="AE17" s="197"/>
      <c r="AF17" s="197"/>
      <c r="AG17" s="197"/>
      <c r="AH17" s="197"/>
      <c r="AI17" s="197"/>
      <c r="AJ17" s="202" t="str">
        <f>VLOOKUP(3190,ls!$B:$E,$BA$2,TRUE)</f>
        <v>照片</v>
      </c>
      <c r="AK17" s="203"/>
      <c r="AL17" s="203"/>
      <c r="AM17" s="203"/>
      <c r="AN17" s="203"/>
      <c r="AO17" s="203"/>
      <c r="AP17" s="203"/>
      <c r="AQ17" s="204"/>
      <c r="AR17" s="2"/>
      <c r="AS17" s="3"/>
      <c r="AT17" s="3"/>
      <c r="AU17" s="3"/>
      <c r="AV17" s="3"/>
      <c r="AW17" s="3"/>
      <c r="AX17" s="19"/>
      <c r="AY17" s="3"/>
      <c r="AZ17" s="3"/>
      <c r="BA17" s="3"/>
      <c r="BB17" s="3"/>
      <c r="BC17" s="3"/>
      <c r="BD17" s="3"/>
      <c r="BE17" s="3"/>
      <c r="BF17" s="3"/>
      <c r="BG17" s="3"/>
      <c r="BH17" s="3"/>
      <c r="BI17" s="3"/>
    </row>
    <row r="18" spans="1:61" ht="15" customHeight="1">
      <c r="A18" s="205" t="str">
        <f>VLOOKUP(3120,ls!$B:$E,$BA$2,TRUE)</f>
        <v>拼音</v>
      </c>
      <c r="B18" s="205"/>
      <c r="C18" s="205"/>
      <c r="D18" s="205"/>
      <c r="E18" s="195"/>
      <c r="F18" s="195"/>
      <c r="G18" s="195"/>
      <c r="H18" s="195"/>
      <c r="I18" s="195"/>
      <c r="J18" s="195"/>
      <c r="K18" s="195"/>
      <c r="L18" s="195"/>
      <c r="M18" s="195"/>
      <c r="N18" s="195"/>
      <c r="O18" s="195"/>
      <c r="P18" s="199"/>
      <c r="Q18" s="201"/>
      <c r="R18" s="195"/>
      <c r="S18" s="195"/>
      <c r="T18" s="195"/>
      <c r="U18" s="195"/>
      <c r="V18" s="195"/>
      <c r="W18" s="195"/>
      <c r="X18" s="195"/>
      <c r="Y18" s="195"/>
      <c r="Z18" s="195"/>
      <c r="AA18" s="195"/>
      <c r="AB18" s="195"/>
      <c r="AC18" s="195"/>
      <c r="AD18" s="195"/>
      <c r="AE18" s="195"/>
      <c r="AF18" s="195"/>
      <c r="AG18" s="195"/>
      <c r="AH18" s="195"/>
      <c r="AI18" s="195"/>
      <c r="AJ18" s="202" t="str">
        <f>VLOOKUP(3190,ls!$B:$E,$BA$3,TRUE)</f>
        <v>Photo</v>
      </c>
      <c r="AK18" s="203"/>
      <c r="AL18" s="203"/>
      <c r="AM18" s="203"/>
      <c r="AN18" s="203"/>
      <c r="AO18" s="203"/>
      <c r="AP18" s="203"/>
      <c r="AQ18" s="204"/>
      <c r="AR18" s="2"/>
      <c r="AS18" s="3"/>
      <c r="AT18" s="3"/>
      <c r="AU18" s="3"/>
      <c r="AV18" s="3"/>
      <c r="AW18" s="3"/>
      <c r="AX18" s="19"/>
      <c r="AY18" s="3"/>
      <c r="AZ18" s="3"/>
      <c r="BA18" s="3"/>
      <c r="BB18" s="3"/>
      <c r="BC18" s="3"/>
      <c r="BD18" s="3"/>
      <c r="BE18" s="3"/>
      <c r="BF18" s="3"/>
      <c r="BG18" s="3"/>
      <c r="BH18" s="3"/>
      <c r="BI18" s="3"/>
    </row>
    <row r="19" spans="1:61" ht="15" customHeight="1">
      <c r="A19" s="206" t="str">
        <f>VLOOKUP(3130,ls!$B:$E,$BA$2,TRUE)</f>
        <v>国籍</v>
      </c>
      <c r="B19" s="206"/>
      <c r="C19" s="206"/>
      <c r="D19" s="206"/>
      <c r="E19" s="220" t="str">
        <f>IF(Resume!G7&lt;&gt;"",Resume!G7,"")</f>
        <v>中国</v>
      </c>
      <c r="F19" s="221"/>
      <c r="G19" s="221"/>
      <c r="H19" s="221"/>
      <c r="I19" s="222"/>
      <c r="J19" s="206" t="str">
        <f>VLOOKUP(3140,ls!$B:$E,$BA$2,TRUE)</f>
        <v>出生年月日</v>
      </c>
      <c r="K19" s="206"/>
      <c r="L19" s="206"/>
      <c r="M19" s="206"/>
      <c r="N19" s="150" t="str">
        <f>IF(Resume!G11&lt;&gt;"",Resume!G11,"")</f>
        <v/>
      </c>
      <c r="O19" s="150"/>
      <c r="P19" s="150"/>
      <c r="Q19" s="67" t="str">
        <f>VLOOKUP(3030,ls!$B:$E,$BA$2,TRUE)</f>
        <v>年</v>
      </c>
      <c r="R19" s="150" t="str">
        <f>IF(Resume!L11&lt;&gt;"",Resume!L11,"")</f>
        <v/>
      </c>
      <c r="S19" s="150"/>
      <c r="T19" s="67" t="str">
        <f>VLOOKUP(3040,ls!$B:$E,$BA$2,TRUE)</f>
        <v>月</v>
      </c>
      <c r="U19" s="150" t="str">
        <f>IF(Resume!P11&lt;&gt;"",Resume!P11,"")</f>
        <v/>
      </c>
      <c r="V19" s="150"/>
      <c r="W19" s="67" t="str">
        <f>VLOOKUP(3050,ls!$B:$E,$BA$2,TRUE)</f>
        <v>日</v>
      </c>
      <c r="X19" s="206" t="str">
        <f>VLOOKUP(3150,ls!$B:$E,$BA$2,TRUE)</f>
        <v>年龄</v>
      </c>
      <c r="Y19" s="206"/>
      <c r="Z19" s="206"/>
      <c r="AA19" s="150" t="str">
        <f ca="1">IF(AND(N19&lt;&gt;"",R19&lt;&gt;"",U19&lt;&gt;""),DATEDIF(DATE(N19,R19,U19),TODAY(),"Y"),"")</f>
        <v/>
      </c>
      <c r="AB19" s="150"/>
      <c r="AC19" s="150"/>
      <c r="AD19" s="206" t="str">
        <f>VLOOKUP(3160,ls!$B:$E,$BA$2,TRUE)</f>
        <v>性別</v>
      </c>
      <c r="AE19" s="206"/>
      <c r="AF19" s="206"/>
      <c r="AG19" s="150" t="str">
        <f>IF(Resume!AA11&lt;&gt;"",Resume!AA11,"")</f>
        <v xml:space="preserve"> </v>
      </c>
      <c r="AH19" s="150"/>
      <c r="AI19" s="150"/>
      <c r="AJ19" s="202"/>
      <c r="AK19" s="203"/>
      <c r="AL19" s="203"/>
      <c r="AM19" s="203"/>
      <c r="AN19" s="203"/>
      <c r="AO19" s="203"/>
      <c r="AP19" s="203"/>
      <c r="AQ19" s="204"/>
      <c r="AR19" s="2"/>
      <c r="AS19" s="3"/>
      <c r="AT19" s="3"/>
      <c r="AU19" s="3"/>
      <c r="AV19" s="3"/>
      <c r="AW19" s="3"/>
      <c r="AX19" s="19"/>
      <c r="AY19" s="3"/>
      <c r="AZ19" s="3"/>
      <c r="BA19" s="3"/>
      <c r="BB19" s="3"/>
      <c r="BC19" s="3"/>
      <c r="BD19" s="3"/>
      <c r="BE19" s="3"/>
      <c r="BF19" s="3"/>
      <c r="BG19" s="3"/>
      <c r="BH19" s="3"/>
      <c r="BI19" s="3"/>
    </row>
    <row r="20" spans="1:61" ht="15" customHeight="1">
      <c r="A20" s="205" t="str">
        <f>VLOOKUP(3130,ls!$B:$E,$BA$3,TRUE)</f>
        <v>Nationality</v>
      </c>
      <c r="B20" s="205"/>
      <c r="C20" s="205"/>
      <c r="D20" s="205"/>
      <c r="E20" s="223"/>
      <c r="F20" s="224"/>
      <c r="G20" s="224"/>
      <c r="H20" s="224"/>
      <c r="I20" s="225"/>
      <c r="J20" s="205" t="str">
        <f>VLOOKUP(3140,ls!$B:$E,$BA$3,TRUE)</f>
        <v>Date of Birth</v>
      </c>
      <c r="K20" s="205"/>
      <c r="L20" s="205"/>
      <c r="M20" s="205"/>
      <c r="N20" s="150"/>
      <c r="O20" s="150"/>
      <c r="P20" s="150"/>
      <c r="Q20" s="68" t="str">
        <f>VLOOKUP(3030,ls!$B:$E,$BA$3,TRUE)</f>
        <v>Y</v>
      </c>
      <c r="R20" s="150"/>
      <c r="S20" s="150"/>
      <c r="T20" s="68" t="str">
        <f>VLOOKUP(3040,ls!$B:$E,$BA$3,TRUE)</f>
        <v>M</v>
      </c>
      <c r="U20" s="150"/>
      <c r="V20" s="150"/>
      <c r="W20" s="68" t="str">
        <f>VLOOKUP(3050,ls!$B:$E,$BA$3,TRUE)</f>
        <v>D</v>
      </c>
      <c r="X20" s="205" t="str">
        <f>VLOOKUP(3150,ls!$B:$E,$BA$3,TRUE)</f>
        <v>Age</v>
      </c>
      <c r="Y20" s="205"/>
      <c r="Z20" s="205"/>
      <c r="AA20" s="150"/>
      <c r="AB20" s="150"/>
      <c r="AC20" s="150"/>
      <c r="AD20" s="205" t="str">
        <f>VLOOKUP(3160,ls!$B:$E,$BA$3,TRUE)</f>
        <v>Sex</v>
      </c>
      <c r="AE20" s="205"/>
      <c r="AF20" s="205"/>
      <c r="AG20" s="150"/>
      <c r="AH20" s="150"/>
      <c r="AI20" s="150"/>
      <c r="AJ20" s="202" t="s">
        <v>51</v>
      </c>
      <c r="AK20" s="203"/>
      <c r="AL20" s="203"/>
      <c r="AM20" s="203"/>
      <c r="AN20" s="203"/>
      <c r="AO20" s="203"/>
      <c r="AP20" s="203"/>
      <c r="AQ20" s="204"/>
      <c r="AR20" s="2"/>
      <c r="AS20" s="3"/>
      <c r="AT20" s="3"/>
      <c r="AU20" s="3"/>
      <c r="AV20" s="3"/>
      <c r="AW20" s="3"/>
      <c r="AX20" s="19"/>
      <c r="AY20" s="3"/>
      <c r="AZ20" s="3"/>
      <c r="BA20" s="3"/>
      <c r="BB20" s="3"/>
      <c r="BC20" s="3"/>
      <c r="BD20" s="3"/>
      <c r="BE20" s="3"/>
      <c r="BF20" s="3"/>
      <c r="BG20" s="3"/>
      <c r="BH20" s="3"/>
      <c r="BI20" s="3"/>
    </row>
    <row r="21" spans="1:61" ht="15" customHeight="1">
      <c r="A21" s="206" t="str">
        <f>VLOOKUP(3170,ls!$B:$E,$BA$2,TRUE)</f>
        <v>出生地</v>
      </c>
      <c r="B21" s="206"/>
      <c r="C21" s="206"/>
      <c r="D21" s="206"/>
      <c r="E21" s="220" t="str">
        <f>Resume!AH14&amp;" "&amp;Resume!AM14</f>
        <v xml:space="preserve"> </v>
      </c>
      <c r="F21" s="221"/>
      <c r="G21" s="221"/>
      <c r="H21" s="221"/>
      <c r="I21" s="222"/>
      <c r="J21" s="206" t="str">
        <f>VLOOKUP(3180,ls!$B:$E,$BA$2,TRUE)</f>
        <v>现在地址</v>
      </c>
      <c r="K21" s="206"/>
      <c r="L21" s="206"/>
      <c r="M21" s="206"/>
      <c r="N21" s="130" t="str">
        <f>IF(Resume!G14&lt;&gt;"",Resume!G14,"")</f>
        <v/>
      </c>
      <c r="O21" s="130"/>
      <c r="P21" s="130"/>
      <c r="Q21" s="130"/>
      <c r="R21" s="130"/>
      <c r="S21" s="130"/>
      <c r="T21" s="130"/>
      <c r="U21" s="130"/>
      <c r="V21" s="130"/>
      <c r="W21" s="130"/>
      <c r="X21" s="130"/>
      <c r="Y21" s="130"/>
      <c r="Z21" s="130"/>
      <c r="AA21" s="130"/>
      <c r="AB21" s="130"/>
      <c r="AC21" s="130"/>
      <c r="AD21" s="130"/>
      <c r="AE21" s="130"/>
      <c r="AF21" s="130"/>
      <c r="AG21" s="130"/>
      <c r="AH21" s="130"/>
      <c r="AI21" s="130"/>
      <c r="AJ21" s="202"/>
      <c r="AK21" s="203"/>
      <c r="AL21" s="203"/>
      <c r="AM21" s="203"/>
      <c r="AN21" s="203"/>
      <c r="AO21" s="203"/>
      <c r="AP21" s="203"/>
      <c r="AQ21" s="204"/>
      <c r="AR21" s="2"/>
      <c r="AS21" s="3"/>
      <c r="AT21" s="3"/>
      <c r="AU21" s="3"/>
      <c r="AV21" s="3"/>
      <c r="AW21" s="3"/>
      <c r="AX21" s="19"/>
      <c r="AY21" s="3"/>
      <c r="AZ21" s="3"/>
      <c r="BA21" s="3"/>
      <c r="BB21" s="3"/>
      <c r="BC21" s="3"/>
      <c r="BD21" s="3"/>
      <c r="BE21" s="3"/>
      <c r="BF21" s="3"/>
      <c r="BG21" s="3"/>
      <c r="BH21" s="3"/>
      <c r="BI21" s="3"/>
    </row>
    <row r="22" spans="1:61" ht="15" customHeight="1">
      <c r="A22" s="205" t="str">
        <f>VLOOKUP(3170,ls!$B:$E,$BA$3,TRUE)</f>
        <v>Place of Birth</v>
      </c>
      <c r="B22" s="205"/>
      <c r="C22" s="205"/>
      <c r="D22" s="205"/>
      <c r="E22" s="223"/>
      <c r="F22" s="224"/>
      <c r="G22" s="224"/>
      <c r="H22" s="224"/>
      <c r="I22" s="225"/>
      <c r="J22" s="205" t="str">
        <f>VLOOKUP(3180,ls!$B:$E,$BA$3,TRUE)</f>
        <v>Present Address</v>
      </c>
      <c r="K22" s="205"/>
      <c r="L22" s="205"/>
      <c r="M22" s="205"/>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226"/>
      <c r="AK22" s="227"/>
      <c r="AL22" s="227"/>
      <c r="AM22" s="227"/>
      <c r="AN22" s="227"/>
      <c r="AO22" s="227"/>
      <c r="AP22" s="227"/>
      <c r="AQ22" s="228"/>
      <c r="AR22" s="2"/>
      <c r="AS22" s="3"/>
      <c r="AT22" s="3"/>
      <c r="AU22" s="3"/>
      <c r="AV22" s="3"/>
      <c r="AW22" s="3"/>
      <c r="AX22" s="19"/>
      <c r="AY22" s="3"/>
      <c r="AZ22" s="3"/>
      <c r="BA22" s="3"/>
      <c r="BB22" s="3"/>
      <c r="BC22" s="3"/>
      <c r="BD22" s="3"/>
      <c r="BE22" s="3"/>
      <c r="BF22" s="3"/>
      <c r="BG22" s="3"/>
      <c r="BH22" s="3"/>
      <c r="BI22" s="3"/>
    </row>
    <row r="23" spans="1:61" ht="15" customHeight="1">
      <c r="A23" s="206" t="str">
        <f>VLOOKUP(3200,ls!$B:$E,$BA$2,TRUE)</f>
        <v>职业</v>
      </c>
      <c r="B23" s="206"/>
      <c r="C23" s="206"/>
      <c r="D23" s="206"/>
      <c r="E23" s="229"/>
      <c r="F23" s="230"/>
      <c r="G23" s="230"/>
      <c r="H23" s="230"/>
      <c r="I23" s="231"/>
      <c r="J23" s="206" t="str">
        <f>VLOOKUP(3210,ls!$B:$E,$BA$2,TRUE)</f>
        <v>户口所在地</v>
      </c>
      <c r="K23" s="206"/>
      <c r="L23" s="206"/>
      <c r="M23" s="206"/>
      <c r="N23" s="235" t="str">
        <f>IF(Resume!L15&lt;&gt;"",Resume!L15,"")</f>
        <v/>
      </c>
      <c r="O23" s="236"/>
      <c r="P23" s="236"/>
      <c r="Q23" s="236"/>
      <c r="R23" s="236"/>
      <c r="S23" s="236"/>
      <c r="T23" s="236"/>
      <c r="U23" s="236"/>
      <c r="V23" s="236"/>
      <c r="W23" s="236"/>
      <c r="X23" s="236"/>
      <c r="Y23" s="237"/>
      <c r="Z23" s="206" t="str">
        <f>VLOOKUP(3220,ls!$B:$E,$BA$2,TRUE)</f>
        <v>电话号码</v>
      </c>
      <c r="AA23" s="206"/>
      <c r="AB23" s="206"/>
      <c r="AC23" s="206"/>
      <c r="AD23" s="240"/>
      <c r="AE23" s="230"/>
      <c r="AF23" s="230"/>
      <c r="AG23" s="230"/>
      <c r="AH23" s="230"/>
      <c r="AI23" s="231"/>
      <c r="AJ23" s="206" t="str">
        <f>VLOOKUP(3230,ls!$B:$E,$BA$2,TRUE)</f>
        <v>婚姻状况</v>
      </c>
      <c r="AK23" s="206"/>
      <c r="AL23" s="206"/>
      <c r="AM23" s="206"/>
      <c r="AN23" s="150" t="str">
        <f>IF(Resume!I17&lt;&gt;"",Resume!I17,"")</f>
        <v xml:space="preserve"> </v>
      </c>
      <c r="AO23" s="150"/>
      <c r="AP23" s="150"/>
      <c r="AQ23" s="150"/>
      <c r="AR23" s="2"/>
      <c r="AS23" s="3"/>
      <c r="AT23" s="3"/>
      <c r="AU23" s="3"/>
      <c r="AV23" s="3"/>
      <c r="AW23" s="3"/>
      <c r="AX23" s="19"/>
      <c r="AY23" s="3"/>
      <c r="AZ23" s="3"/>
      <c r="BA23" s="3"/>
      <c r="BB23" s="3"/>
      <c r="BC23" s="3"/>
      <c r="BD23" s="3"/>
      <c r="BE23" s="3"/>
      <c r="BF23" s="3"/>
      <c r="BG23" s="3"/>
      <c r="BH23" s="3"/>
      <c r="BI23" s="3"/>
    </row>
    <row r="24" spans="1:61" ht="15" customHeight="1">
      <c r="A24" s="205" t="str">
        <f>VLOOKUP(3200,ls!$B:$E,$BA$3,TRUE)</f>
        <v>Occupation</v>
      </c>
      <c r="B24" s="205"/>
      <c r="C24" s="205"/>
      <c r="D24" s="205"/>
      <c r="E24" s="232"/>
      <c r="F24" s="233"/>
      <c r="G24" s="233"/>
      <c r="H24" s="233"/>
      <c r="I24" s="234"/>
      <c r="J24" s="205" t="str">
        <f>VLOOKUP(3210,ls!$B:$E,$BA$3,TRUE)</f>
        <v>Register address</v>
      </c>
      <c r="K24" s="205"/>
      <c r="L24" s="205"/>
      <c r="M24" s="205"/>
      <c r="N24" s="238"/>
      <c r="O24" s="159"/>
      <c r="P24" s="159"/>
      <c r="Q24" s="159"/>
      <c r="R24" s="159"/>
      <c r="S24" s="159"/>
      <c r="T24" s="159"/>
      <c r="U24" s="159"/>
      <c r="V24" s="159"/>
      <c r="W24" s="159"/>
      <c r="X24" s="159"/>
      <c r="Y24" s="239"/>
      <c r="Z24" s="205" t="str">
        <f>VLOOKUP(3220,ls!$B:$E,$BA$3,TRUE)</f>
        <v>Phone</v>
      </c>
      <c r="AA24" s="205"/>
      <c r="AB24" s="205"/>
      <c r="AC24" s="205"/>
      <c r="AD24" s="232"/>
      <c r="AE24" s="233"/>
      <c r="AF24" s="233"/>
      <c r="AG24" s="233"/>
      <c r="AH24" s="233"/>
      <c r="AI24" s="234"/>
      <c r="AJ24" s="205" t="str">
        <f>VLOOKUP(3230,ls!$B:$E,$BA$3,TRUE)</f>
        <v>Marriage</v>
      </c>
      <c r="AK24" s="205"/>
      <c r="AL24" s="205"/>
      <c r="AM24" s="205"/>
      <c r="AN24" s="150"/>
      <c r="AO24" s="150"/>
      <c r="AP24" s="150"/>
      <c r="AQ24" s="150"/>
      <c r="AR24" s="2"/>
      <c r="AS24" s="3"/>
      <c r="AT24" s="3"/>
      <c r="AU24" s="3"/>
      <c r="AV24" s="3"/>
      <c r="AW24" s="3"/>
      <c r="AX24" s="19"/>
      <c r="AY24" s="3"/>
      <c r="AZ24" s="3"/>
      <c r="BA24" s="3"/>
      <c r="BB24" s="3"/>
      <c r="BC24" s="3"/>
      <c r="BD24" s="3"/>
      <c r="BE24" s="3"/>
      <c r="BF24" s="3"/>
      <c r="BG24" s="3"/>
      <c r="BH24" s="3"/>
      <c r="BI24" s="3"/>
    </row>
    <row r="25" spans="1:61" ht="15" customHeight="1">
      <c r="A25" s="206" t="str">
        <f>VLOOKUP(3240,ls!$B:$E,$BA$2,TRUE)</f>
        <v>护照号</v>
      </c>
      <c r="B25" s="206"/>
      <c r="C25" s="206"/>
      <c r="D25" s="206"/>
      <c r="E25" s="242"/>
      <c r="F25" s="230"/>
      <c r="G25" s="230"/>
      <c r="H25" s="230"/>
      <c r="I25" s="231"/>
      <c r="J25" s="206" t="str">
        <f>VLOOKUP(3250,ls!$B:$E,$BA$2,TRUE)</f>
        <v>発行年月日</v>
      </c>
      <c r="K25" s="206"/>
      <c r="L25" s="206"/>
      <c r="M25" s="206"/>
      <c r="N25" s="195"/>
      <c r="O25" s="195"/>
      <c r="P25" s="195"/>
      <c r="Q25" s="67" t="str">
        <f>VLOOKUP(3030,ls!$B:$E,$BA$2,TRUE)</f>
        <v>年</v>
      </c>
      <c r="R25" s="195"/>
      <c r="S25" s="195"/>
      <c r="T25" s="67" t="str">
        <f>VLOOKUP(3040,ls!$B:$E,$BA$2,TRUE)</f>
        <v>月</v>
      </c>
      <c r="U25" s="195"/>
      <c r="V25" s="195"/>
      <c r="W25" s="67" t="str">
        <f>VLOOKUP(3050,ls!$B:$E,$BA$2,TRUE)</f>
        <v>日</v>
      </c>
      <c r="X25" s="206" t="str">
        <f>VLOOKUP(3260,ls!$B:$E,$BA$2,TRUE)</f>
        <v>有効期限</v>
      </c>
      <c r="Y25" s="206"/>
      <c r="Z25" s="206"/>
      <c r="AA25" s="195"/>
      <c r="AB25" s="195"/>
      <c r="AC25" s="195"/>
      <c r="AD25" s="67" t="str">
        <f>VLOOKUP(3030,ls!$B:$E,$BA$2,TRUE)</f>
        <v>年</v>
      </c>
      <c r="AE25" s="195"/>
      <c r="AF25" s="195"/>
      <c r="AG25" s="67" t="str">
        <f>VLOOKUP(3040,ls!$B:$E,$BA$2,TRUE)</f>
        <v>月</v>
      </c>
      <c r="AH25" s="195"/>
      <c r="AI25" s="195"/>
      <c r="AJ25" s="67" t="str">
        <f>VLOOKUP(3050,ls!$B:$E,$BA$2,TRUE)</f>
        <v>日</v>
      </c>
      <c r="AK25" s="206" t="str">
        <f>VLOOKUP(3270,ls!$B:$E,$BA$2,TRUE)</f>
        <v>日本入境回数</v>
      </c>
      <c r="AL25" s="206"/>
      <c r="AM25" s="206"/>
      <c r="AN25" s="206"/>
      <c r="AO25" s="241">
        <f>COUNT(Resume!E72:E74)</f>
        <v>0</v>
      </c>
      <c r="AP25" s="241"/>
      <c r="AQ25" s="241"/>
      <c r="AR25" s="2"/>
      <c r="AS25" s="3"/>
      <c r="AT25" s="3"/>
      <c r="AU25" s="3"/>
      <c r="AV25" s="3"/>
      <c r="AW25" s="3"/>
      <c r="AX25" s="19"/>
      <c r="AY25" s="3"/>
      <c r="AZ25" s="3"/>
      <c r="BA25" s="3"/>
      <c r="BB25" s="3"/>
      <c r="BC25" s="3"/>
      <c r="BD25" s="3"/>
      <c r="BE25" s="3"/>
      <c r="BF25" s="3"/>
      <c r="BG25" s="3"/>
      <c r="BH25" s="3"/>
      <c r="BI25" s="3"/>
    </row>
    <row r="26" spans="1:61" ht="15" customHeight="1">
      <c r="A26" s="205" t="str">
        <f>VLOOKUP(3240,ls!$B:$E,$BA$3,TRUE)</f>
        <v>Passport No.</v>
      </c>
      <c r="B26" s="205"/>
      <c r="C26" s="205"/>
      <c r="D26" s="205"/>
      <c r="E26" s="232"/>
      <c r="F26" s="233"/>
      <c r="G26" s="233"/>
      <c r="H26" s="233"/>
      <c r="I26" s="234"/>
      <c r="J26" s="205" t="str">
        <f>VLOOKUP(3250,ls!$B:$E,$BA$3,TRUE)</f>
        <v>Issue</v>
      </c>
      <c r="K26" s="205"/>
      <c r="L26" s="205"/>
      <c r="M26" s="205"/>
      <c r="N26" s="195"/>
      <c r="O26" s="195"/>
      <c r="P26" s="195"/>
      <c r="Q26" s="68" t="str">
        <f>VLOOKUP(3030,ls!$B:$E,$BA$3,TRUE)</f>
        <v>Y</v>
      </c>
      <c r="R26" s="195"/>
      <c r="S26" s="195"/>
      <c r="T26" s="68" t="str">
        <f>VLOOKUP(3040,ls!$B:$E,$BA$3,TRUE)</f>
        <v>M</v>
      </c>
      <c r="U26" s="195"/>
      <c r="V26" s="195"/>
      <c r="W26" s="68" t="str">
        <f>VLOOKUP(3050,ls!$B:$E,$BA$3,TRUE)</f>
        <v>D</v>
      </c>
      <c r="X26" s="205" t="str">
        <f>VLOOKUP(3260,ls!$B:$E,$BA$3,TRUE)</f>
        <v>Expiration</v>
      </c>
      <c r="Y26" s="205"/>
      <c r="Z26" s="205"/>
      <c r="AA26" s="195"/>
      <c r="AB26" s="195"/>
      <c r="AC26" s="195"/>
      <c r="AD26" s="68" t="str">
        <f>VLOOKUP(3030,ls!$B:$E,$BA$3,TRUE)</f>
        <v>Y</v>
      </c>
      <c r="AE26" s="195"/>
      <c r="AF26" s="195"/>
      <c r="AG26" s="68" t="str">
        <f>VLOOKUP(3040,ls!$B:$E,$BA$3,TRUE)</f>
        <v>M</v>
      </c>
      <c r="AH26" s="195"/>
      <c r="AI26" s="195"/>
      <c r="AJ26" s="68" t="str">
        <f>VLOOKUP(3050,ls!$B:$E,$BA$3,TRUE)</f>
        <v>D</v>
      </c>
      <c r="AK26" s="205" t="str">
        <f>VLOOKUP(3270,ls!$B:$E,$BA$3,TRUE)</f>
        <v>Previous Visits</v>
      </c>
      <c r="AL26" s="205"/>
      <c r="AM26" s="205"/>
      <c r="AN26" s="205"/>
      <c r="AO26" s="241"/>
      <c r="AP26" s="241"/>
      <c r="AQ26" s="241"/>
      <c r="AR26" s="2"/>
      <c r="AS26" s="119" t="str">
        <f>VLOOKUP(3280,ls!$B:$E,$BA$2,TRUE)&amp;" / " &amp; VLOOKUP(3280,ls!$B:$E,$BA$3,TRUE)</f>
        <v>VISA申请经历 / Have you applied for any visa for Japan before?</v>
      </c>
      <c r="AT26" s="119"/>
      <c r="AU26" s="119"/>
      <c r="AV26" s="3"/>
      <c r="AW26" s="3"/>
      <c r="AX26" s="19"/>
      <c r="AY26" s="3"/>
      <c r="AZ26" s="3"/>
      <c r="BA26" s="3"/>
      <c r="BB26" s="3"/>
      <c r="BC26" s="3"/>
      <c r="BD26" s="3"/>
      <c r="BE26" s="3"/>
      <c r="BF26" s="3"/>
      <c r="BG26" s="3"/>
      <c r="BH26" s="3"/>
      <c r="BI26" s="3"/>
    </row>
    <row r="27" spans="1:61" ht="6.95" customHeight="1">
      <c r="A27" s="3"/>
      <c r="B27" s="3"/>
      <c r="C27" s="3"/>
      <c r="D27" s="3"/>
      <c r="E27" s="3"/>
      <c r="F27" s="3"/>
      <c r="G27" s="3"/>
      <c r="H27" s="2"/>
      <c r="I27" s="2"/>
      <c r="J27" s="2"/>
      <c r="K27" s="2"/>
      <c r="L27" s="2"/>
      <c r="M27" s="2"/>
      <c r="N27" s="2"/>
      <c r="O27" s="2"/>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64"/>
      <c r="AS27" s="3"/>
      <c r="AT27" s="3"/>
      <c r="AU27" s="3"/>
      <c r="AV27" s="3"/>
      <c r="AW27" s="3"/>
      <c r="AX27" s="19"/>
      <c r="AY27" s="3"/>
      <c r="AZ27" s="3"/>
      <c r="BA27" s="3"/>
      <c r="BB27" s="3"/>
      <c r="BC27" s="3"/>
      <c r="BD27" s="3"/>
      <c r="BE27" s="3"/>
      <c r="BF27" s="3"/>
      <c r="BG27" s="3"/>
      <c r="BH27" s="3"/>
      <c r="BI27" s="3"/>
    </row>
    <row r="28" spans="1:61" ht="15" customHeight="1">
      <c r="A28" s="3" t="s">
        <v>50</v>
      </c>
      <c r="B28" s="119" t="str">
        <f>VLOOKUP(3280,ls!$B:$E,$BA$2,TRUE) &amp; "("&amp;VLOOKUP(3280,ls!$B:$E,$BA$3,TRUE)&amp;")"</f>
        <v>VISA申请经历(Have you applied for any visa for Japan before?)</v>
      </c>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64"/>
      <c r="AS28" s="3"/>
      <c r="AT28" s="3"/>
      <c r="AU28" s="23"/>
      <c r="AV28" s="23"/>
      <c r="AW28" s="3"/>
      <c r="AX28" s="3"/>
      <c r="AY28" s="3"/>
      <c r="AZ28" s="23"/>
      <c r="BA28" s="9">
        <v>1</v>
      </c>
      <c r="BB28" s="10" t="str">
        <f>INDEX(BH28:BH30,BA28)</f>
        <v xml:space="preserve"> </v>
      </c>
      <c r="BC28" s="23"/>
      <c r="BD28" s="20">
        <v>1</v>
      </c>
      <c r="BE28" s="20" t="s">
        <v>8</v>
      </c>
      <c r="BF28" s="20" t="s">
        <v>8</v>
      </c>
      <c r="BG28" s="17" t="str">
        <f>VLOOKUP(100,ls!$B:$E,$BA$2,TRUE)&amp;" / "&amp;VLOOKUP(100,ls!$B:$E,$BA$3,TRUE)</f>
        <v>未选择 / Unselected</v>
      </c>
      <c r="BH28" s="17" t="str">
        <f>BE28</f>
        <v xml:space="preserve"> </v>
      </c>
      <c r="BI28" s="3"/>
    </row>
    <row r="29" spans="1:61" ht="15" customHeight="1">
      <c r="A29" s="243"/>
      <c r="B29" s="220" t="str">
        <f>IF(BA28=2,"■","□")</f>
        <v>□</v>
      </c>
      <c r="C29" s="236" t="str">
        <f>VLOOKUP(3290,ls!$B:$E,$BA$2,TRUE)</f>
        <v>没有</v>
      </c>
      <c r="D29" s="236"/>
      <c r="E29" s="244"/>
      <c r="F29" s="245" t="str">
        <f>IF(BA28=3,"■","□")</f>
        <v>□</v>
      </c>
      <c r="G29" s="236" t="str">
        <f>VLOOKUP(3300,ls!$B:$E,$BA$2,TRUE)</f>
        <v>有申请经历</v>
      </c>
      <c r="H29" s="236"/>
      <c r="I29" s="236"/>
      <c r="J29" s="237"/>
      <c r="K29" s="3"/>
      <c r="L29" s="220" t="str">
        <f>VLOOKUP(3310,ls!$B:$E,$BA$2,TRUE)</f>
        <v>申请日</v>
      </c>
      <c r="M29" s="221"/>
      <c r="N29" s="221"/>
      <c r="O29" s="222"/>
      <c r="P29" s="247"/>
      <c r="Q29" s="248"/>
      <c r="R29" s="249"/>
      <c r="S29" s="67" t="str">
        <f>VLOOKUP(3030,ls!$B:$E,$BA$2,TRUE)</f>
        <v>年</v>
      </c>
      <c r="T29" s="253"/>
      <c r="U29" s="253"/>
      <c r="V29" s="67" t="str">
        <f>VLOOKUP(3040,ls!$B:$E,$BA$2,TRUE)</f>
        <v>月</v>
      </c>
      <c r="W29" s="253"/>
      <c r="X29" s="253"/>
      <c r="Y29" s="67" t="str">
        <f>VLOOKUP(3050,ls!$B:$E,$BA$2,TRUE)</f>
        <v>日</v>
      </c>
      <c r="Z29" s="3"/>
      <c r="AA29" s="206" t="str">
        <f>VLOOKUP(3320,ls!$B:$E,$BA$2,TRUE)</f>
        <v>VISA種別</v>
      </c>
      <c r="AB29" s="206"/>
      <c r="AC29" s="206"/>
      <c r="AD29" s="206"/>
      <c r="AE29" s="253"/>
      <c r="AF29" s="253"/>
      <c r="AG29" s="253"/>
      <c r="AH29" s="253"/>
      <c r="AI29" s="3"/>
      <c r="AJ29" s="206" t="str">
        <f>VLOOKUP(3330,ls!$B:$E,$BA$2,TRUE)</f>
        <v>结果</v>
      </c>
      <c r="AK29" s="206"/>
      <c r="AL29" s="206"/>
      <c r="AM29" s="206"/>
      <c r="AN29" s="253"/>
      <c r="AO29" s="253"/>
      <c r="AP29" s="253"/>
      <c r="AQ29" s="253"/>
      <c r="AR29" s="2"/>
      <c r="AS29" s="3"/>
      <c r="AT29" s="3"/>
      <c r="AU29" s="23"/>
      <c r="AV29" s="23"/>
      <c r="AW29" s="3"/>
      <c r="AX29" s="3"/>
      <c r="AY29" s="14"/>
      <c r="AZ29" s="23"/>
      <c r="BA29" s="14"/>
      <c r="BB29" s="14"/>
      <c r="BC29" s="23"/>
      <c r="BD29" s="24">
        <v>2</v>
      </c>
      <c r="BE29" s="24" t="str">
        <f>VLOOKUP(3290,ls!$B:$E,$BA$2,TRUE)</f>
        <v>没有</v>
      </c>
      <c r="BF29" s="24" t="str">
        <f>VLOOKUP(3290,ls!$B:$E,$BA$3,TRUE)</f>
        <v>No</v>
      </c>
      <c r="BG29" s="17" t="str">
        <f>BE29&amp;"  /  "&amp;BF29</f>
        <v>没有  /  No</v>
      </c>
      <c r="BH29" s="17" t="str">
        <f>BE29</f>
        <v>没有</v>
      </c>
      <c r="BI29" s="3"/>
    </row>
    <row r="30" spans="1:61" ht="15" customHeight="1">
      <c r="A30" s="243"/>
      <c r="B30" s="223"/>
      <c r="C30" s="254" t="str">
        <f>VLOOKUP(3290,ls!$B:$E,$BA$3,TRUE)</f>
        <v>No</v>
      </c>
      <c r="D30" s="254"/>
      <c r="E30" s="255"/>
      <c r="F30" s="246"/>
      <c r="G30" s="254" t="str">
        <f>VLOOKUP(3300,ls!$B:$E,$BA$3,TRUE)</f>
        <v>Yes</v>
      </c>
      <c r="H30" s="254"/>
      <c r="I30" s="254"/>
      <c r="J30" s="256"/>
      <c r="K30" s="3"/>
      <c r="L30" s="257" t="str">
        <f>VLOOKUP(3310,ls!$B:$E,$BA$3,TRUE)</f>
        <v>Date</v>
      </c>
      <c r="M30" s="258"/>
      <c r="N30" s="258"/>
      <c r="O30" s="259"/>
      <c r="P30" s="250"/>
      <c r="Q30" s="251"/>
      <c r="R30" s="252"/>
      <c r="S30" s="68" t="str">
        <f>VLOOKUP(3030,ls!$B:$E,$BA$3,TRUE)</f>
        <v>Y</v>
      </c>
      <c r="T30" s="253"/>
      <c r="U30" s="253"/>
      <c r="V30" s="68" t="str">
        <f>VLOOKUP(3040,ls!$B:$E,$BA$3,TRUE)</f>
        <v>M</v>
      </c>
      <c r="W30" s="253"/>
      <c r="X30" s="253"/>
      <c r="Y30" s="68" t="str">
        <f>VLOOKUP(3050,ls!$B:$E,$BA$3,TRUE)</f>
        <v>D</v>
      </c>
      <c r="Z30" s="3"/>
      <c r="AA30" s="205" t="str">
        <f>VLOOKUP(3320,ls!$B:$E,$BA$3,TRUE)</f>
        <v>Type of Visa</v>
      </c>
      <c r="AB30" s="205"/>
      <c r="AC30" s="205"/>
      <c r="AD30" s="205"/>
      <c r="AE30" s="253"/>
      <c r="AF30" s="253"/>
      <c r="AG30" s="253"/>
      <c r="AH30" s="253"/>
      <c r="AI30" s="3"/>
      <c r="AJ30" s="205" t="str">
        <f>VLOOKUP(3330,ls!$B:$E,$BA$3,TRUE)</f>
        <v>Result</v>
      </c>
      <c r="AK30" s="205"/>
      <c r="AL30" s="205"/>
      <c r="AM30" s="205"/>
      <c r="AN30" s="253"/>
      <c r="AO30" s="253"/>
      <c r="AP30" s="253"/>
      <c r="AQ30" s="253"/>
      <c r="AR30" s="2"/>
      <c r="AS30" s="3"/>
      <c r="AT30" s="3"/>
      <c r="AU30" s="23"/>
      <c r="AV30" s="23"/>
      <c r="AW30" s="3"/>
      <c r="AX30" s="3"/>
      <c r="AY30" s="3"/>
      <c r="AZ30" s="23"/>
      <c r="BA30" s="15"/>
      <c r="BB30" s="19"/>
      <c r="BC30" s="23"/>
      <c r="BD30" s="20">
        <v>3</v>
      </c>
      <c r="BE30" s="20" t="str">
        <f>VLOOKUP(3300,ls!$B:$E,$BA$2,TRUE)</f>
        <v>有申请经历</v>
      </c>
      <c r="BF30" s="20" t="str">
        <f>VLOOKUP(3300,ls!$B:$E,$BA$3,TRUE)</f>
        <v>Yes</v>
      </c>
      <c r="BG30" s="17" t="str">
        <f>BE30&amp;"  /  "&amp;BF30</f>
        <v>有申请经历  /  Yes</v>
      </c>
      <c r="BH30" s="17" t="str">
        <f>BE30</f>
        <v>有申请经历</v>
      </c>
      <c r="BI30" s="3"/>
    </row>
    <row r="31" spans="1:61" ht="6.95"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64"/>
      <c r="AS31" s="3"/>
      <c r="AT31" s="3"/>
      <c r="AU31" s="3"/>
      <c r="AV31" s="3"/>
      <c r="AW31" s="3"/>
      <c r="AX31" s="19"/>
      <c r="AY31" s="3"/>
      <c r="AZ31" s="3"/>
      <c r="BA31" s="3"/>
      <c r="BB31" s="3"/>
      <c r="BC31" s="3"/>
      <c r="BD31" s="3"/>
      <c r="BE31" s="3"/>
      <c r="BF31" s="3"/>
      <c r="BG31" s="3"/>
      <c r="BH31" s="3"/>
      <c r="BI31" s="3"/>
    </row>
    <row r="32" spans="1:61" ht="15" customHeight="1">
      <c r="A32" s="3" t="s">
        <v>50</v>
      </c>
      <c r="B32" s="119" t="str">
        <f>VLOOKUP(3350,ls!$B:$E,$BA$2,TRUE) &amp; "(" &amp; VLOOKUP(3350,ls!$B:$E,$BA$3,TRUE) &amp;")"</f>
        <v>日语能力(Japanese language ability)</v>
      </c>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64"/>
      <c r="AS32" s="3"/>
      <c r="AT32" s="3"/>
      <c r="AU32" s="3"/>
      <c r="AV32" s="3"/>
      <c r="AW32" s="3"/>
      <c r="AX32" s="19"/>
      <c r="AY32" s="3"/>
      <c r="AZ32" s="3"/>
      <c r="BA32" s="3"/>
      <c r="BB32" s="3"/>
      <c r="BC32" s="3"/>
      <c r="BD32" s="3"/>
      <c r="BE32" s="3"/>
      <c r="BF32" s="3"/>
      <c r="BG32" s="3"/>
      <c r="BH32" s="3"/>
      <c r="BI32" s="3"/>
    </row>
    <row r="33" spans="1:61" ht="15" customHeight="1">
      <c r="A33" s="150" t="str">
        <f>VLOOKUP(3360,ls!$B:$E,$BA$2,TRUE)</f>
        <v>日本語能力試験</v>
      </c>
      <c r="B33" s="150"/>
      <c r="C33" s="150"/>
      <c r="D33" s="150"/>
      <c r="E33" s="150"/>
      <c r="F33" s="150"/>
      <c r="G33" s="3"/>
      <c r="H33" s="207" t="str">
        <f>VLOOKUP(3370,ls!$B:$E,$BA$2,TRUE) &amp; "("&amp;VLOOKUP(3370,ls!$B:$E,$BA$3,TRUE)&amp;")"</f>
        <v>日本留学試験(EJU)</v>
      </c>
      <c r="I33" s="208"/>
      <c r="J33" s="208"/>
      <c r="K33" s="208"/>
      <c r="L33" s="208"/>
      <c r="M33" s="208"/>
      <c r="N33" s="208"/>
      <c r="O33" s="208"/>
      <c r="P33" s="208"/>
      <c r="Q33" s="208"/>
      <c r="R33" s="208"/>
      <c r="S33" s="208"/>
      <c r="T33" s="208"/>
      <c r="U33" s="208"/>
      <c r="V33" s="208"/>
      <c r="W33" s="211"/>
      <c r="X33" s="3"/>
      <c r="Y33" s="220" t="str">
        <f>VLOOKUP(3420,ls!$B:$E,$BA$3,TRUE)</f>
        <v>J-TEST</v>
      </c>
      <c r="Z33" s="221"/>
      <c r="AA33" s="222"/>
      <c r="AB33" s="207" t="str">
        <f>VLOOKUP(3430,ls!$B:$E,$BA$3,TRUE)</f>
        <v>NAT</v>
      </c>
      <c r="AC33" s="208"/>
      <c r="AD33" s="211"/>
      <c r="AE33" s="3"/>
      <c r="AF33" s="220" t="str">
        <f>VLOOKUP(3460,ls!$B:$E,$BA$2,TRUE)</f>
        <v xml:space="preserve">日本語学習歴 </v>
      </c>
      <c r="AG33" s="221"/>
      <c r="AH33" s="221"/>
      <c r="AI33" s="221"/>
      <c r="AJ33" s="221"/>
      <c r="AK33" s="221"/>
      <c r="AL33" s="221"/>
      <c r="AM33" s="221"/>
      <c r="AN33" s="221"/>
      <c r="AO33" s="221"/>
      <c r="AP33" s="221"/>
      <c r="AQ33" s="222"/>
      <c r="AR33" s="2"/>
      <c r="AS33" s="3"/>
      <c r="AT33" s="3"/>
      <c r="AU33" s="3"/>
      <c r="AV33" s="3"/>
      <c r="AW33" s="3"/>
      <c r="AX33" s="19"/>
      <c r="AY33" s="3"/>
      <c r="AZ33" s="3"/>
      <c r="BA33" s="3"/>
      <c r="BB33" s="3"/>
      <c r="BC33" s="3"/>
      <c r="BD33" s="3"/>
      <c r="BE33" s="3"/>
      <c r="BF33" s="3"/>
      <c r="BG33" s="3"/>
      <c r="BH33" s="3"/>
      <c r="BI33" s="3"/>
    </row>
    <row r="34" spans="1:61" ht="15" customHeight="1">
      <c r="A34" s="206"/>
      <c r="B34" s="206"/>
      <c r="C34" s="206"/>
      <c r="D34" s="206"/>
      <c r="E34" s="206"/>
      <c r="F34" s="206"/>
      <c r="G34" s="3"/>
      <c r="H34" s="206" t="str">
        <f>VLOOKUP(3380,ls!$B:$E,$BA$2,TRUE)</f>
        <v>聴解</v>
      </c>
      <c r="I34" s="206"/>
      <c r="J34" s="206"/>
      <c r="K34" s="206"/>
      <c r="L34" s="206" t="str">
        <f>VLOOKUP(3390,ls!$B:$E,$BA$2,TRUE)</f>
        <v>聴読解</v>
      </c>
      <c r="M34" s="206"/>
      <c r="N34" s="206"/>
      <c r="O34" s="206"/>
      <c r="P34" s="206" t="str">
        <f>VLOOKUP(3400,ls!$B:$E,$BA$2,TRUE)</f>
        <v>読解</v>
      </c>
      <c r="Q34" s="206"/>
      <c r="R34" s="206"/>
      <c r="S34" s="206"/>
      <c r="T34" s="206" t="str">
        <f>VLOOKUP(3410,ls!$B:$E,$BA$2,TRUE)</f>
        <v>合計</v>
      </c>
      <c r="U34" s="206"/>
      <c r="V34" s="206"/>
      <c r="W34" s="206"/>
      <c r="X34" s="3"/>
      <c r="Y34" s="195"/>
      <c r="Z34" s="195"/>
      <c r="AA34" s="195"/>
      <c r="AB34" s="195"/>
      <c r="AC34" s="195"/>
      <c r="AD34" s="195"/>
      <c r="AE34" s="3"/>
      <c r="AF34" s="257" t="str">
        <f>VLOOKUP(3460,ls!$B:$E,$BA$3,TRUE)</f>
        <v>Japanese learning</v>
      </c>
      <c r="AG34" s="258"/>
      <c r="AH34" s="258"/>
      <c r="AI34" s="258"/>
      <c r="AJ34" s="258"/>
      <c r="AK34" s="258"/>
      <c r="AL34" s="258"/>
      <c r="AM34" s="258"/>
      <c r="AN34" s="258"/>
      <c r="AO34" s="258"/>
      <c r="AP34" s="258"/>
      <c r="AQ34" s="259"/>
      <c r="AR34" s="2"/>
      <c r="AS34" s="181" t="str">
        <f>IF(AND(A36="",H36="",L36="",P36="",Y34="",AB34="",Y36="",AB36="",OR(AI35=0,AO35&lt;=0)),"*"&amp;VLOOKUP(3490,ls!$B:$E,$BA$2,TRUE)&amp;" / "&amp;VLOOKUP(3490,ls!$B:$E,$BA$3,TRUE),"")</f>
        <v>*日語能力不正当 / Problem with Japanese ability</v>
      </c>
      <c r="AT34" s="181"/>
      <c r="AU34" s="181"/>
      <c r="AV34" s="3"/>
      <c r="AW34" s="3"/>
      <c r="AX34" s="19"/>
      <c r="AY34" s="3"/>
      <c r="AZ34" s="3"/>
      <c r="BA34" s="3"/>
      <c r="BB34" s="3"/>
      <c r="BC34" s="3"/>
      <c r="BD34" s="3"/>
      <c r="BE34" s="3"/>
      <c r="BF34" s="3"/>
      <c r="BG34" s="3"/>
      <c r="BH34" s="3"/>
      <c r="BI34" s="3"/>
    </row>
    <row r="35" spans="1:61" ht="15" customHeight="1">
      <c r="A35" s="205" t="str">
        <f>VLOOKUP(3360,ls!$B:$E,$BA$3,TRUE)</f>
        <v>JLPT</v>
      </c>
      <c r="B35" s="205"/>
      <c r="C35" s="205"/>
      <c r="D35" s="205"/>
      <c r="E35" s="205"/>
      <c r="F35" s="205"/>
      <c r="G35" s="3"/>
      <c r="H35" s="205" t="str">
        <f>VLOOKUP(3380,ls!$B:$E,$BA$3,TRUE)</f>
        <v>Listening</v>
      </c>
      <c r="I35" s="205"/>
      <c r="J35" s="205"/>
      <c r="K35" s="205"/>
      <c r="L35" s="205" t="str">
        <f>VLOOKUP(3390,ls!$B:$E,$BA$3,TRUE)</f>
        <v>Listening-Reading</v>
      </c>
      <c r="M35" s="205"/>
      <c r="N35" s="205"/>
      <c r="O35" s="205"/>
      <c r="P35" s="205" t="str">
        <f>VLOOKUP(3400,ls!$B:$E,$BA$3,TRUE)</f>
        <v>Reading</v>
      </c>
      <c r="Q35" s="205"/>
      <c r="R35" s="205"/>
      <c r="S35" s="205"/>
      <c r="T35" s="205" t="str">
        <f>VLOOKUP(3410,ls!$B:$E,$BA$3,TRUE)</f>
        <v>Total</v>
      </c>
      <c r="U35" s="205"/>
      <c r="V35" s="205"/>
      <c r="W35" s="205"/>
      <c r="X35" s="3"/>
      <c r="Y35" s="207" t="str">
        <f>VLOOKUP(3440,ls!$B:$E,$BA$3,TRUE)</f>
        <v>GNK</v>
      </c>
      <c r="Z35" s="208"/>
      <c r="AA35" s="211"/>
      <c r="AB35" s="207" t="str">
        <f>VLOOKUP(3450,ls!$B:$E,$BA$3,TRUE)</f>
        <v>TOPJ</v>
      </c>
      <c r="AC35" s="208"/>
      <c r="AD35" s="211"/>
      <c r="AE35" s="3"/>
      <c r="AF35" s="220" t="str">
        <f>VLOOKUP(3470,ls!$B:$E,$BA$2,TRUE)</f>
        <v>回数</v>
      </c>
      <c r="AG35" s="221"/>
      <c r="AH35" s="222"/>
      <c r="AI35" s="260">
        <f>COUNT(Resume!AG53:AG57)</f>
        <v>0</v>
      </c>
      <c r="AJ35" s="261"/>
      <c r="AK35" s="220" t="str">
        <f>VLOOKUP(3480,ls!$B:$E,$BA$2,TRUE)</f>
        <v>总时间间</v>
      </c>
      <c r="AL35" s="221"/>
      <c r="AM35" s="221"/>
      <c r="AN35" s="221"/>
      <c r="AO35" s="260">
        <f>Resume!AR58</f>
        <v>0</v>
      </c>
      <c r="AP35" s="264"/>
      <c r="AQ35" s="261"/>
      <c r="AR35" s="2"/>
      <c r="AS35" s="3"/>
      <c r="AT35" s="3"/>
      <c r="AU35" s="3"/>
      <c r="AV35" s="3"/>
      <c r="AW35" s="3"/>
      <c r="AX35" s="19"/>
      <c r="AY35" s="3"/>
      <c r="AZ35" s="3"/>
      <c r="BA35" s="3"/>
      <c r="BB35" s="3"/>
      <c r="BC35" s="3"/>
      <c r="BD35" s="3"/>
      <c r="BE35" s="3"/>
      <c r="BF35" s="3"/>
      <c r="BG35" s="3"/>
      <c r="BH35" s="3"/>
      <c r="BI35" s="3"/>
    </row>
    <row r="36" spans="1:61" ht="15" customHeight="1">
      <c r="A36" s="195"/>
      <c r="B36" s="195"/>
      <c r="C36" s="195"/>
      <c r="D36" s="195"/>
      <c r="E36" s="195"/>
      <c r="F36" s="195"/>
      <c r="G36" s="3"/>
      <c r="H36" s="195"/>
      <c r="I36" s="195"/>
      <c r="J36" s="195"/>
      <c r="K36" s="195"/>
      <c r="L36" s="195"/>
      <c r="M36" s="195"/>
      <c r="N36" s="195"/>
      <c r="O36" s="195"/>
      <c r="P36" s="195"/>
      <c r="Q36" s="195"/>
      <c r="R36" s="195"/>
      <c r="S36" s="195"/>
      <c r="T36" s="241">
        <f>SUM(H36:S36)</f>
        <v>0</v>
      </c>
      <c r="U36" s="241"/>
      <c r="V36" s="241"/>
      <c r="W36" s="241"/>
      <c r="X36" s="3"/>
      <c r="Y36" s="195"/>
      <c r="Z36" s="195"/>
      <c r="AA36" s="195"/>
      <c r="AB36" s="195"/>
      <c r="AC36" s="195"/>
      <c r="AD36" s="195"/>
      <c r="AE36" s="3"/>
      <c r="AF36" s="257" t="str">
        <f>VLOOKUP(3470,ls!$B:$E,$BA$3,TRUE)</f>
        <v>Times</v>
      </c>
      <c r="AG36" s="258"/>
      <c r="AH36" s="259"/>
      <c r="AI36" s="262"/>
      <c r="AJ36" s="263"/>
      <c r="AK36" s="257" t="str">
        <f>VLOOKUP(3480,ls!$B:$E,$BA$3,TRUE)</f>
        <v>Total Time</v>
      </c>
      <c r="AL36" s="258"/>
      <c r="AM36" s="258"/>
      <c r="AN36" s="258"/>
      <c r="AO36" s="262"/>
      <c r="AP36" s="265"/>
      <c r="AQ36" s="263"/>
      <c r="AR36" s="2"/>
      <c r="AS36" s="119" t="str">
        <f>VLOOKUP(3500,ls!$B:$E,$BA$2,TRUE)&amp;" / " &amp; VLOOKUP(3500,ls!$B:$E,$BA$3,TRUE)</f>
        <v>住所预定地 / The stay place in Japan</v>
      </c>
      <c r="AT36" s="119"/>
      <c r="AU36" s="119"/>
      <c r="AV36" s="3"/>
      <c r="AW36" s="3"/>
      <c r="AX36" s="3"/>
      <c r="AY36" s="3"/>
      <c r="AZ36" s="3"/>
      <c r="BA36" s="3"/>
      <c r="BB36" s="3"/>
      <c r="BC36" s="3"/>
      <c r="BD36" s="3"/>
      <c r="BE36" s="3"/>
      <c r="BF36" s="3"/>
      <c r="BG36" s="3"/>
      <c r="BH36" s="3"/>
      <c r="BI36" s="3"/>
    </row>
    <row r="37" spans="1:61" ht="6.95" customHeight="1">
      <c r="A37" s="3"/>
      <c r="B37" s="3"/>
      <c r="C37" s="3"/>
      <c r="D37" s="3"/>
      <c r="E37" s="3"/>
      <c r="F37" s="3"/>
      <c r="G37" s="3"/>
      <c r="H37" s="3"/>
      <c r="I37" s="3"/>
      <c r="J37" s="3"/>
      <c r="K37" s="3"/>
      <c r="L37" s="3"/>
      <c r="M37" s="3"/>
      <c r="N37" s="3"/>
      <c r="O37" s="3"/>
      <c r="P37" s="3"/>
      <c r="Q37" s="3"/>
      <c r="R37" s="3"/>
      <c r="S37" s="3"/>
      <c r="T37" s="3"/>
      <c r="U37" s="3"/>
      <c r="V37" s="3"/>
      <c r="W37" s="120"/>
      <c r="X37" s="120"/>
      <c r="Y37" s="120"/>
      <c r="Z37" s="120"/>
      <c r="AA37" s="120"/>
      <c r="AB37" s="120"/>
      <c r="AC37" s="120"/>
      <c r="AD37" s="120"/>
      <c r="AE37" s="3"/>
      <c r="AF37" s="3"/>
      <c r="AG37" s="3"/>
      <c r="AH37" s="3"/>
      <c r="AI37" s="3"/>
      <c r="AJ37" s="3"/>
      <c r="AK37" s="3"/>
      <c r="AL37" s="3"/>
      <c r="AM37" s="3"/>
      <c r="AN37" s="3"/>
      <c r="AO37" s="3"/>
      <c r="AP37" s="3"/>
      <c r="AQ37" s="3"/>
      <c r="AR37" s="64"/>
      <c r="AS37" s="3"/>
      <c r="AT37" s="3"/>
      <c r="AU37" s="3"/>
      <c r="AV37" s="3"/>
      <c r="AW37" s="3"/>
      <c r="AX37" s="19"/>
      <c r="AY37" s="3"/>
      <c r="AZ37" s="3"/>
      <c r="BA37" s="3"/>
      <c r="BB37" s="3"/>
      <c r="BC37" s="3"/>
      <c r="BD37" s="3"/>
      <c r="BE37" s="3"/>
      <c r="BF37" s="3"/>
      <c r="BG37" s="3"/>
      <c r="BH37" s="3"/>
      <c r="BI37" s="3"/>
    </row>
    <row r="38" spans="1:61" ht="15" customHeight="1">
      <c r="A38" s="3" t="s">
        <v>50</v>
      </c>
      <c r="B38" s="119" t="str">
        <f>VLOOKUP(3500,ls!$B:$E,$BA$2,TRUE) &amp; "("&amp;VLOOKUP(3500,ls!$B:$E,$BA$3,TRUE)&amp;")"</f>
        <v>住所预定地(The stay place in Japan)</v>
      </c>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4"/>
      <c r="AR38" s="64"/>
      <c r="AS38" s="3"/>
      <c r="AT38" s="3"/>
      <c r="AU38" s="23"/>
      <c r="AV38" s="23"/>
      <c r="AW38" s="3"/>
      <c r="AX38" s="19"/>
      <c r="AY38" s="3"/>
      <c r="AZ38" s="23"/>
      <c r="BA38" s="9">
        <v>1</v>
      </c>
      <c r="BB38" s="10" t="str">
        <f>INDEX(BH38:BH40,BA38)</f>
        <v xml:space="preserve"> </v>
      </c>
      <c r="BC38" s="23"/>
      <c r="BD38" s="20">
        <v>1</v>
      </c>
      <c r="BE38" s="20" t="s">
        <v>8</v>
      </c>
      <c r="BF38" s="20" t="s">
        <v>8</v>
      </c>
      <c r="BG38" s="17" t="str">
        <f>VLOOKUP(100,ls!$B:$E,$BA$2,TRUE)&amp;" / "&amp;VLOOKUP(100,ls!$B:$E,$BA$3,TRUE)</f>
        <v>未选择 / Unselected</v>
      </c>
      <c r="BH38" s="17" t="str">
        <f>BE38</f>
        <v xml:space="preserve"> </v>
      </c>
      <c r="BI38" s="3"/>
    </row>
    <row r="39" spans="1:61" ht="15" customHeight="1">
      <c r="A39" s="3"/>
      <c r="B39" s="220" t="str">
        <f>IF(BA38=2,"■","□")</f>
        <v>□</v>
      </c>
      <c r="C39" s="236" t="str">
        <f>VLOOKUP(3510,ls!$B:$E,$BA$2,TRUE)</f>
        <v>学生寮</v>
      </c>
      <c r="D39" s="236"/>
      <c r="E39" s="236"/>
      <c r="F39" s="244"/>
      <c r="G39" s="245" t="str">
        <f>IF(BA38=3,"■","□")</f>
        <v>□</v>
      </c>
      <c r="H39" s="236" t="str">
        <f>VLOOKUP(3520,ls!$B:$E,$BA$2,TRUE)</f>
        <v>其他</v>
      </c>
      <c r="I39" s="236"/>
      <c r="J39" s="236"/>
      <c r="K39" s="237"/>
      <c r="L39" s="3"/>
      <c r="M39" s="181" t="str">
        <f>IF(BA38=3,"* "&amp;VLOOKUP(3521,ls!$B:$E,$BA$2,TRUE),"")</f>
        <v/>
      </c>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3"/>
      <c r="AR39" s="64"/>
      <c r="AS39" s="3"/>
      <c r="AT39" s="3"/>
      <c r="AU39" s="23"/>
      <c r="AV39" s="23"/>
      <c r="AW39" s="3"/>
      <c r="AX39" s="3"/>
      <c r="AY39" s="14"/>
      <c r="AZ39" s="23"/>
      <c r="BA39" s="14"/>
      <c r="BB39" s="14"/>
      <c r="BC39" s="23"/>
      <c r="BD39" s="24">
        <v>2</v>
      </c>
      <c r="BE39" s="24" t="str">
        <f>VLOOKUP(3510,ls!$B:$E,$BA$2,TRUE)</f>
        <v>学生寮</v>
      </c>
      <c r="BF39" s="24" t="str">
        <f>VLOOKUP(3510,ls!$B:$E,$BA$3,TRUE)</f>
        <v>Dormitory</v>
      </c>
      <c r="BG39" s="17" t="str">
        <f>BE39&amp;"  /  "&amp;BF39</f>
        <v>学生寮  /  Dormitory</v>
      </c>
      <c r="BH39" s="17" t="str">
        <f>BE39</f>
        <v>学生寮</v>
      </c>
      <c r="BI39" s="3"/>
    </row>
    <row r="40" spans="1:61" ht="15" customHeight="1">
      <c r="A40" s="3"/>
      <c r="B40" s="223"/>
      <c r="C40" s="254" t="str">
        <f>VLOOKUP(3510,ls!$B:$E,$BA$3,TRUE)</f>
        <v>Dormitory</v>
      </c>
      <c r="D40" s="254"/>
      <c r="E40" s="254"/>
      <c r="F40" s="255"/>
      <c r="G40" s="246"/>
      <c r="H40" s="254" t="str">
        <f>VLOOKUP(3520,ls!$B:$E,$BA$3,TRUE)</f>
        <v>Other</v>
      </c>
      <c r="I40" s="254"/>
      <c r="J40" s="254"/>
      <c r="K40" s="256"/>
      <c r="L40" s="3"/>
      <c r="M40" s="270" t="str">
        <f>IF(BA38=3,"* "&amp;VLOOKUP(3521,ls!$B:$E,$BA$3,TRUE),"")</f>
        <v/>
      </c>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3"/>
      <c r="AR40" s="64"/>
      <c r="AS40" s="3"/>
      <c r="AT40" s="3"/>
      <c r="AU40" s="23"/>
      <c r="AV40" s="23"/>
      <c r="AW40" s="3"/>
      <c r="AX40" s="19"/>
      <c r="AY40" s="3"/>
      <c r="AZ40" s="23"/>
      <c r="BA40" s="15"/>
      <c r="BB40" s="19"/>
      <c r="BC40" s="23"/>
      <c r="BD40" s="20">
        <v>3</v>
      </c>
      <c r="BE40" s="20" t="str">
        <f>VLOOKUP(3520,ls!$B:$E,$BA$2,TRUE)</f>
        <v>其他</v>
      </c>
      <c r="BF40" s="20" t="str">
        <f>VLOOKUP(3520,ls!$B:$E,$BA$3,TRUE)</f>
        <v>Other</v>
      </c>
      <c r="BG40" s="17" t="str">
        <f>BE40&amp;"  /  "&amp;BF40</f>
        <v>其他  /  Other</v>
      </c>
      <c r="BH40" s="17" t="str">
        <f>BE40</f>
        <v>其他</v>
      </c>
      <c r="BI40" s="3"/>
    </row>
    <row r="41" spans="1:61" ht="6.95" customHeight="1">
      <c r="A41" s="3"/>
      <c r="B41" s="3"/>
      <c r="C41" s="3"/>
      <c r="D41" s="3"/>
      <c r="E41" s="3"/>
      <c r="F41" s="3"/>
      <c r="G41" s="19"/>
      <c r="H41" s="19"/>
      <c r="I41" s="19"/>
      <c r="J41" s="19"/>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64"/>
      <c r="AS41" s="3"/>
      <c r="AT41" s="3"/>
      <c r="AU41" s="3"/>
      <c r="AV41" s="3"/>
      <c r="AW41" s="3"/>
      <c r="AX41" s="19"/>
      <c r="AY41" s="3"/>
      <c r="AZ41" s="3"/>
      <c r="BA41" s="3"/>
      <c r="BB41" s="3"/>
      <c r="BC41" s="3"/>
      <c r="BD41" s="3"/>
      <c r="BE41" s="3"/>
      <c r="BF41" s="3"/>
      <c r="BG41" s="3"/>
      <c r="BH41" s="3"/>
      <c r="BI41" s="3"/>
    </row>
    <row r="42" spans="1:61" ht="15" customHeight="1">
      <c r="A42" s="3" t="s">
        <v>50</v>
      </c>
      <c r="B42" s="159" t="str">
        <f>VLOOKUP(3550,ls!$B:$E,$BA$2,TRUE) &amp; "("&amp;VLOOKUP(3550,ls!$B:$E,$BA$3,TRUE)&amp;")"</f>
        <v>经费担保人(Sponsor)</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70"/>
      <c r="AR42" s="64"/>
      <c r="AS42" s="3"/>
      <c r="AT42" s="3"/>
      <c r="AU42" s="3"/>
      <c r="AV42" s="3"/>
      <c r="AW42" s="3"/>
      <c r="AX42" s="19"/>
      <c r="AY42" s="3"/>
      <c r="AZ42" s="3"/>
      <c r="BA42" s="3"/>
      <c r="BB42" s="3"/>
      <c r="BC42" s="3"/>
      <c r="BD42" s="3"/>
      <c r="BE42" s="3"/>
      <c r="BF42" s="3"/>
      <c r="BG42" s="3"/>
      <c r="BH42" s="3"/>
      <c r="BI42" s="3"/>
    </row>
    <row r="43" spans="1:61" ht="15" customHeight="1">
      <c r="A43" s="220"/>
      <c r="B43" s="221"/>
      <c r="C43" s="221"/>
      <c r="D43" s="222"/>
      <c r="E43" s="220" t="str">
        <f>VLOOKUP(3090,ls!$B:$E,$BA$2,TRUE)</f>
        <v>姓</v>
      </c>
      <c r="F43" s="221"/>
      <c r="G43" s="221"/>
      <c r="H43" s="221"/>
      <c r="I43" s="221"/>
      <c r="J43" s="221"/>
      <c r="K43" s="221"/>
      <c r="L43" s="221"/>
      <c r="M43" s="221"/>
      <c r="N43" s="221"/>
      <c r="O43" s="266"/>
      <c r="P43" s="245" t="str">
        <f>VLOOKUP(3100,ls!$B:$E,$BA$2,TRUE)</f>
        <v>名</v>
      </c>
      <c r="Q43" s="221"/>
      <c r="R43" s="221"/>
      <c r="S43" s="221"/>
      <c r="T43" s="221"/>
      <c r="U43" s="221"/>
      <c r="V43" s="221"/>
      <c r="W43" s="221"/>
      <c r="X43" s="221"/>
      <c r="Y43" s="221"/>
      <c r="Z43" s="220" t="str">
        <f>VLOOKUP(3560,ls!$B:$E,$BA$2,TRUE)</f>
        <v>关系</v>
      </c>
      <c r="AA43" s="221"/>
      <c r="AB43" s="221"/>
      <c r="AC43" s="221"/>
      <c r="AD43" s="221"/>
      <c r="AE43" s="221"/>
      <c r="AF43" s="267" t="str">
        <f>VLOOKUP(3565,ls!$B:$E,$BA$2,TRUE)</f>
        <v>前年年收入金额</v>
      </c>
      <c r="AG43" s="268"/>
      <c r="AH43" s="268"/>
      <c r="AI43" s="268"/>
      <c r="AJ43" s="268"/>
      <c r="AK43" s="268"/>
      <c r="AL43" s="268"/>
      <c r="AM43" s="268"/>
      <c r="AN43" s="268"/>
      <c r="AO43" s="268"/>
      <c r="AP43" s="268"/>
      <c r="AQ43" s="269"/>
      <c r="AR43" s="2"/>
      <c r="AS43" s="271" t="s">
        <v>52</v>
      </c>
      <c r="AT43" s="272"/>
      <c r="AU43" s="272"/>
      <c r="AV43" s="272"/>
      <c r="AW43" s="272"/>
      <c r="AX43" s="272"/>
      <c r="AY43" s="272"/>
      <c r="AZ43" s="272"/>
      <c r="BA43" s="272"/>
      <c r="BB43" s="273"/>
      <c r="BC43" s="3"/>
      <c r="BD43" s="3"/>
      <c r="BE43" s="3"/>
      <c r="BF43" s="3"/>
      <c r="BG43" s="3"/>
      <c r="BH43" s="3"/>
      <c r="BI43" s="3"/>
    </row>
    <row r="44" spans="1:61" ht="15" customHeight="1">
      <c r="A44" s="223"/>
      <c r="B44" s="224"/>
      <c r="C44" s="224"/>
      <c r="D44" s="225"/>
      <c r="E44" s="223" t="str">
        <f>"(" &amp; VLOOKUP(3090,ls!$B:$E,$BA$3,TRUE) &amp;")"</f>
        <v>(Family name)</v>
      </c>
      <c r="F44" s="224"/>
      <c r="G44" s="224"/>
      <c r="H44" s="224"/>
      <c r="I44" s="224"/>
      <c r="J44" s="224"/>
      <c r="K44" s="224"/>
      <c r="L44" s="224"/>
      <c r="M44" s="224"/>
      <c r="N44" s="224"/>
      <c r="O44" s="280"/>
      <c r="P44" s="246" t="str">
        <f>"(" &amp; VLOOKUP(3100,ls!$B:$E,$BA$3,TRUE) &amp;")"</f>
        <v>(Middle Name, Given name)</v>
      </c>
      <c r="Q44" s="224"/>
      <c r="R44" s="224"/>
      <c r="S44" s="224"/>
      <c r="T44" s="224"/>
      <c r="U44" s="224"/>
      <c r="V44" s="224"/>
      <c r="W44" s="224"/>
      <c r="X44" s="224"/>
      <c r="Y44" s="224"/>
      <c r="Z44" s="223" t="str">
        <f>"(" &amp; VLOOKUP(3560,ls!$B:$E,$BA$3,TRUE) &amp;")"</f>
        <v>(Relationship)</v>
      </c>
      <c r="AA44" s="224"/>
      <c r="AB44" s="224"/>
      <c r="AC44" s="224"/>
      <c r="AD44" s="224"/>
      <c r="AE44" s="224"/>
      <c r="AF44" s="281" t="str">
        <f>"(" &amp; VLOOKUP(3565,ls!$B:$E,$BA$3,TRUE) &amp;")"</f>
        <v>(Previous year annual income)</v>
      </c>
      <c r="AG44" s="282"/>
      <c r="AH44" s="282"/>
      <c r="AI44" s="282"/>
      <c r="AJ44" s="282"/>
      <c r="AK44" s="282"/>
      <c r="AL44" s="282"/>
      <c r="AM44" s="282"/>
      <c r="AN44" s="282"/>
      <c r="AO44" s="282"/>
      <c r="AP44" s="282"/>
      <c r="AQ44" s="283"/>
      <c r="AR44" s="2"/>
      <c r="AS44" s="274"/>
      <c r="AT44" s="275"/>
      <c r="AU44" s="275"/>
      <c r="AV44" s="275"/>
      <c r="AW44" s="275"/>
      <c r="AX44" s="275"/>
      <c r="AY44" s="275"/>
      <c r="AZ44" s="275"/>
      <c r="BA44" s="275"/>
      <c r="BB44" s="276"/>
      <c r="BC44" s="3"/>
      <c r="BD44" s="3"/>
      <c r="BE44" s="3"/>
      <c r="BF44" s="3"/>
      <c r="BG44" s="3"/>
      <c r="BH44" s="3"/>
      <c r="BI44" s="3"/>
    </row>
    <row r="45" spans="1:61" ht="15" customHeight="1">
      <c r="A45" s="196" t="str">
        <f>VLOOKUP(3110,ls!$B:$E,$BA$2,TRUE)</f>
        <v>漢字</v>
      </c>
      <c r="B45" s="196"/>
      <c r="C45" s="196"/>
      <c r="D45" s="284"/>
      <c r="E45" s="71" t="s">
        <v>53</v>
      </c>
      <c r="F45" s="285" t="str">
        <f>IF(AND(Expenses!E34&lt;&gt;"",Expenses!E35&lt;&gt;""),Expenses!E34,IF(Expenses!E34&lt;&gt;"",Expenses!E34,IF(Expenses!E35&lt;&gt;"",Expenses!E35,"")))</f>
        <v/>
      </c>
      <c r="G45" s="285"/>
      <c r="H45" s="285"/>
      <c r="I45" s="285"/>
      <c r="J45" s="285"/>
      <c r="K45" s="285"/>
      <c r="L45" s="285"/>
      <c r="M45" s="285"/>
      <c r="N45" s="285"/>
      <c r="O45" s="286"/>
      <c r="P45" s="287" t="str">
        <f>IF(AND(Expenses!L34&lt;&gt;"",Expenses!L35&lt;&gt;""),Expenses!L34,IF(Expenses!L34&lt;&gt;"",Expenses!L34,IF(Expenses!L35&lt;&gt;"",Expenses!L35,"")))</f>
        <v/>
      </c>
      <c r="Q45" s="285"/>
      <c r="R45" s="285"/>
      <c r="S45" s="285"/>
      <c r="T45" s="285"/>
      <c r="U45" s="285"/>
      <c r="V45" s="285"/>
      <c r="W45" s="285"/>
      <c r="X45" s="285"/>
      <c r="Y45" s="285"/>
      <c r="Z45" s="288" t="str">
        <f>IF(AND(Expenses!AI62&lt;&gt;"",Expenses!AI63&lt;&gt;""),Expenses!AI62,IF(Expenses!AI62&lt;&gt;"",Expenses!AI62,IF(Expenses!AI63&lt;&gt;"",Expenses!AI63,"")))</f>
        <v xml:space="preserve"> </v>
      </c>
      <c r="AA45" s="285"/>
      <c r="AB45" s="285"/>
      <c r="AC45" s="285"/>
      <c r="AD45" s="285"/>
      <c r="AE45" s="285"/>
      <c r="AF45" s="289"/>
      <c r="AG45" s="290"/>
      <c r="AH45" s="290"/>
      <c r="AI45" s="290"/>
      <c r="AJ45" s="290"/>
      <c r="AK45" s="290"/>
      <c r="AL45" s="290"/>
      <c r="AM45" s="290"/>
      <c r="AN45" s="290"/>
      <c r="AO45" s="290"/>
      <c r="AP45" s="290"/>
      <c r="AQ45" s="291"/>
      <c r="AR45" s="2"/>
      <c r="AS45" s="274"/>
      <c r="AT45" s="275"/>
      <c r="AU45" s="275"/>
      <c r="AV45" s="275"/>
      <c r="AW45" s="275"/>
      <c r="AX45" s="275"/>
      <c r="AY45" s="275"/>
      <c r="AZ45" s="275"/>
      <c r="BA45" s="275"/>
      <c r="BB45" s="276"/>
      <c r="BC45" s="3"/>
      <c r="BD45" s="3"/>
      <c r="BE45" s="3"/>
      <c r="BF45" s="3"/>
      <c r="BG45" s="3"/>
      <c r="BH45" s="3"/>
      <c r="BI45" s="3"/>
    </row>
    <row r="46" spans="1:61" ht="15" customHeight="1">
      <c r="A46" s="219" t="str">
        <f>VLOOKUP(3110,ls!$B:$E,$BA$3,TRUE)</f>
        <v>Kanji</v>
      </c>
      <c r="B46" s="219"/>
      <c r="C46" s="219"/>
      <c r="D46" s="297"/>
      <c r="E46" s="72" t="s">
        <v>54</v>
      </c>
      <c r="F46" s="224" t="str">
        <f>IF(AND(Expenses!E34&lt;&gt;"",Expenses!E35&lt;&gt;""),Expenses!E35,"")</f>
        <v/>
      </c>
      <c r="G46" s="224"/>
      <c r="H46" s="224"/>
      <c r="I46" s="224"/>
      <c r="J46" s="224"/>
      <c r="K46" s="224"/>
      <c r="L46" s="224"/>
      <c r="M46" s="224"/>
      <c r="N46" s="224"/>
      <c r="O46" s="280"/>
      <c r="P46" s="246" t="str">
        <f>IF(AND(Expenses!L34&lt;&gt;"",Expenses!L35&lt;&gt;""),Expenses!L35,"")</f>
        <v/>
      </c>
      <c r="Q46" s="224"/>
      <c r="R46" s="224"/>
      <c r="S46" s="224"/>
      <c r="T46" s="224"/>
      <c r="U46" s="224"/>
      <c r="V46" s="224"/>
      <c r="W46" s="224"/>
      <c r="X46" s="224"/>
      <c r="Y46" s="224"/>
      <c r="Z46" s="223" t="str">
        <f>IF(AND(Expenses!AI62&lt;&gt;"",Expenses!AI63&lt;&gt;""),Expenses!AI63,"")</f>
        <v/>
      </c>
      <c r="AA46" s="224"/>
      <c r="AB46" s="224"/>
      <c r="AC46" s="224"/>
      <c r="AD46" s="224"/>
      <c r="AE46" s="224"/>
      <c r="AF46" s="298"/>
      <c r="AG46" s="299"/>
      <c r="AH46" s="299"/>
      <c r="AI46" s="299"/>
      <c r="AJ46" s="299"/>
      <c r="AK46" s="299"/>
      <c r="AL46" s="299"/>
      <c r="AM46" s="299"/>
      <c r="AN46" s="299"/>
      <c r="AO46" s="299"/>
      <c r="AP46" s="299"/>
      <c r="AQ46" s="300"/>
      <c r="AR46" s="2"/>
      <c r="AS46" s="274"/>
      <c r="AT46" s="275"/>
      <c r="AU46" s="275"/>
      <c r="AV46" s="275"/>
      <c r="AW46" s="275"/>
      <c r="AX46" s="275"/>
      <c r="AY46" s="275"/>
      <c r="AZ46" s="275"/>
      <c r="BA46" s="275"/>
      <c r="BB46" s="276"/>
      <c r="BC46" s="3"/>
      <c r="BD46" s="3"/>
      <c r="BE46" s="3"/>
      <c r="BF46" s="3"/>
      <c r="BG46" s="3"/>
      <c r="BH46" s="3"/>
      <c r="BI46" s="3"/>
    </row>
    <row r="47" spans="1:61" ht="15" customHeight="1">
      <c r="A47" s="206" t="str">
        <f>VLOOKUP(3180,ls!$B:$E,$BA$2,TRUE)</f>
        <v>现在地址</v>
      </c>
      <c r="B47" s="206"/>
      <c r="C47" s="206"/>
      <c r="D47" s="220"/>
      <c r="E47" s="71" t="s">
        <v>53</v>
      </c>
      <c r="F47" s="301" t="str">
        <f>IF(AND(Expenses!J58&lt;&gt;"",Expenses!J59&lt;&gt;""),Expenses!J58,IF(Expenses!J58&lt;&gt;"",Expenses!J58,IF(Expenses!J59&lt;&gt;"",Expenses!J59,"")))</f>
        <v/>
      </c>
      <c r="G47" s="301"/>
      <c r="H47" s="301"/>
      <c r="I47" s="301"/>
      <c r="J47" s="301"/>
      <c r="K47" s="301"/>
      <c r="L47" s="301"/>
      <c r="M47" s="301"/>
      <c r="N47" s="301"/>
      <c r="O47" s="301"/>
      <c r="P47" s="301"/>
      <c r="Q47" s="301"/>
      <c r="R47" s="301"/>
      <c r="S47" s="301"/>
      <c r="T47" s="301"/>
      <c r="U47" s="301"/>
      <c r="V47" s="301"/>
      <c r="W47" s="301"/>
      <c r="X47" s="301"/>
      <c r="Y47" s="301"/>
      <c r="Z47" s="301"/>
      <c r="AA47" s="302"/>
      <c r="AB47" s="220" t="str">
        <f>VLOOKUP(3220,ls!$B:$E,$BA$2,TRUE)</f>
        <v>电话号码</v>
      </c>
      <c r="AC47" s="221"/>
      <c r="AD47" s="221"/>
      <c r="AE47" s="222"/>
      <c r="AF47" s="71" t="s">
        <v>53</v>
      </c>
      <c r="AG47" s="301" t="str">
        <f>IF(AND(Expenses!AI58&lt;&gt;"",Expenses!AI59&lt;&gt;""),Expenses!AI58,IF(Expenses!AI58&lt;&gt;"",Expenses!AI58,IF(Expenses!AI59&lt;&gt;"",Expenses!AI59,"")))</f>
        <v/>
      </c>
      <c r="AH47" s="301"/>
      <c r="AI47" s="301"/>
      <c r="AJ47" s="301"/>
      <c r="AK47" s="301"/>
      <c r="AL47" s="301"/>
      <c r="AM47" s="301"/>
      <c r="AN47" s="301"/>
      <c r="AO47" s="301"/>
      <c r="AP47" s="301"/>
      <c r="AQ47" s="302"/>
      <c r="AR47" s="2"/>
      <c r="AS47" s="274"/>
      <c r="AT47" s="275"/>
      <c r="AU47" s="275"/>
      <c r="AV47" s="275"/>
      <c r="AW47" s="275"/>
      <c r="AX47" s="275"/>
      <c r="AY47" s="275"/>
      <c r="AZ47" s="275"/>
      <c r="BA47" s="275"/>
      <c r="BB47" s="276"/>
      <c r="BC47" s="3"/>
      <c r="BD47" s="3"/>
      <c r="BE47" s="3"/>
      <c r="BF47" s="3"/>
      <c r="BG47" s="3"/>
      <c r="BH47" s="3"/>
      <c r="BI47" s="3"/>
    </row>
    <row r="48" spans="1:61" ht="15" customHeight="1">
      <c r="A48" s="205" t="str">
        <f>VLOOKUP(3180,ls!$B:$E,$BA$3,TRUE)</f>
        <v>Present Address</v>
      </c>
      <c r="B48" s="205"/>
      <c r="C48" s="205"/>
      <c r="D48" s="257"/>
      <c r="E48" s="72" t="s">
        <v>54</v>
      </c>
      <c r="F48" s="159" t="str">
        <f>IF(AND(Expenses!J58&lt;&gt;"",Expenses!J59&lt;&gt;""),Expenses!J59,"")</f>
        <v/>
      </c>
      <c r="G48" s="159"/>
      <c r="H48" s="159"/>
      <c r="I48" s="159"/>
      <c r="J48" s="159"/>
      <c r="K48" s="159"/>
      <c r="L48" s="159"/>
      <c r="M48" s="159"/>
      <c r="N48" s="159"/>
      <c r="O48" s="159"/>
      <c r="P48" s="159"/>
      <c r="Q48" s="159"/>
      <c r="R48" s="119"/>
      <c r="S48" s="119"/>
      <c r="T48" s="119"/>
      <c r="U48" s="119"/>
      <c r="V48" s="119"/>
      <c r="W48" s="119"/>
      <c r="X48" s="119"/>
      <c r="Y48" s="119"/>
      <c r="Z48" s="119"/>
      <c r="AA48" s="292"/>
      <c r="AB48" s="257" t="str">
        <f>VLOOKUP(3220,ls!$B:$E,$BA$3,TRUE)</f>
        <v>Phone</v>
      </c>
      <c r="AC48" s="258"/>
      <c r="AD48" s="258"/>
      <c r="AE48" s="259"/>
      <c r="AF48" s="72" t="s">
        <v>54</v>
      </c>
      <c r="AG48" s="159" t="str">
        <f>IF(AND(Expenses!AI58&lt;&gt;"",Expenses!AI59&lt;&gt;""),Expenses!AI59,"")</f>
        <v/>
      </c>
      <c r="AH48" s="159"/>
      <c r="AI48" s="159"/>
      <c r="AJ48" s="159"/>
      <c r="AK48" s="159"/>
      <c r="AL48" s="159"/>
      <c r="AM48" s="159"/>
      <c r="AN48" s="159"/>
      <c r="AO48" s="159"/>
      <c r="AP48" s="159"/>
      <c r="AQ48" s="239"/>
      <c r="AR48" s="2"/>
      <c r="AS48" s="274"/>
      <c r="AT48" s="275"/>
      <c r="AU48" s="275"/>
      <c r="AV48" s="275"/>
      <c r="AW48" s="275"/>
      <c r="AX48" s="275"/>
      <c r="AY48" s="275"/>
      <c r="AZ48" s="275"/>
      <c r="BA48" s="275"/>
      <c r="BB48" s="276"/>
      <c r="BC48" s="3"/>
      <c r="BD48" s="3"/>
      <c r="BE48" s="3"/>
      <c r="BF48" s="3"/>
      <c r="BG48" s="3"/>
      <c r="BH48" s="3"/>
      <c r="BI48" s="3"/>
    </row>
    <row r="49" spans="1:61" ht="15" customHeight="1">
      <c r="A49" s="206" t="str">
        <f>VLOOKUP(3200,ls!$B:$E,$BA$2,TRUE)</f>
        <v>职业</v>
      </c>
      <c r="B49" s="206"/>
      <c r="C49" s="206"/>
      <c r="D49" s="206"/>
      <c r="E49" s="73" t="s">
        <v>53</v>
      </c>
      <c r="F49" s="293" t="str">
        <f>IF(AND(Expenses!AT40&lt;&gt;"",Expenses!AT41&lt;&gt;""),Expenses!AT40,IF(Expenses!AT40&lt;&gt;"",Expenses!AT40,IF(Expenses!AT41&lt;&gt;"",Expenses!AT41,"")))</f>
        <v/>
      </c>
      <c r="G49" s="293"/>
      <c r="H49" s="293"/>
      <c r="I49" s="293"/>
      <c r="J49" s="293"/>
      <c r="K49" s="293"/>
      <c r="L49" s="294"/>
      <c r="M49" s="206" t="str">
        <f>VLOOKUP(3570,ls!$B:$E,$BA$2,TRUE)</f>
        <v>公司名称</v>
      </c>
      <c r="N49" s="206"/>
      <c r="O49" s="206"/>
      <c r="P49" s="206"/>
      <c r="Q49" s="74" t="s">
        <v>53</v>
      </c>
      <c r="R49" s="295"/>
      <c r="S49" s="295"/>
      <c r="T49" s="295"/>
      <c r="U49" s="295"/>
      <c r="V49" s="295"/>
      <c r="W49" s="295"/>
      <c r="X49" s="295"/>
      <c r="Y49" s="295"/>
      <c r="Z49" s="295"/>
      <c r="AA49" s="295"/>
      <c r="AB49" s="295"/>
      <c r="AC49" s="295"/>
      <c r="AD49" s="295"/>
      <c r="AE49" s="295"/>
      <c r="AF49" s="295"/>
      <c r="AG49" s="295"/>
      <c r="AH49" s="295"/>
      <c r="AI49" s="295"/>
      <c r="AJ49" s="295"/>
      <c r="AK49" s="295"/>
      <c r="AL49" s="295"/>
      <c r="AM49" s="295"/>
      <c r="AN49" s="295"/>
      <c r="AO49" s="295"/>
      <c r="AP49" s="295"/>
      <c r="AQ49" s="296"/>
      <c r="AR49" s="2"/>
      <c r="AS49" s="274"/>
      <c r="AT49" s="275"/>
      <c r="AU49" s="275"/>
      <c r="AV49" s="275"/>
      <c r="AW49" s="275"/>
      <c r="AX49" s="275"/>
      <c r="AY49" s="275"/>
      <c r="AZ49" s="275"/>
      <c r="BA49" s="275"/>
      <c r="BB49" s="276"/>
      <c r="BC49" s="3"/>
      <c r="BD49" s="3"/>
      <c r="BE49" s="3"/>
      <c r="BF49" s="3"/>
      <c r="BG49" s="3"/>
      <c r="BH49" s="3"/>
      <c r="BI49" s="3"/>
    </row>
    <row r="50" spans="1:61" ht="15" customHeight="1">
      <c r="A50" s="205" t="str">
        <f>VLOOKUP(3200,ls!$B:$E,$BA$3,TRUE)</f>
        <v>Occupation</v>
      </c>
      <c r="B50" s="205"/>
      <c r="C50" s="205"/>
      <c r="D50" s="205"/>
      <c r="E50" s="72" t="s">
        <v>54</v>
      </c>
      <c r="F50" s="305" t="str">
        <f>IF(AND(Expenses!AT40&lt;&gt;"",Expenses!AT41&lt;&gt;""),Expenses!AT41,"")</f>
        <v/>
      </c>
      <c r="G50" s="305"/>
      <c r="H50" s="305"/>
      <c r="I50" s="305"/>
      <c r="J50" s="305"/>
      <c r="K50" s="305"/>
      <c r="L50" s="306"/>
      <c r="M50" s="205" t="str">
        <f>VLOOKUP(3570,ls!$B:$E,$BA$3,TRUE)</f>
        <v>Office Name</v>
      </c>
      <c r="N50" s="205"/>
      <c r="O50" s="205"/>
      <c r="P50" s="205"/>
      <c r="Q50" s="75" t="s">
        <v>54</v>
      </c>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8"/>
      <c r="AR50" s="2"/>
      <c r="AS50" s="274"/>
      <c r="AT50" s="275"/>
      <c r="AU50" s="275"/>
      <c r="AV50" s="275"/>
      <c r="AW50" s="275"/>
      <c r="AX50" s="275"/>
      <c r="AY50" s="275"/>
      <c r="AZ50" s="275"/>
      <c r="BA50" s="275"/>
      <c r="BB50" s="276"/>
      <c r="BC50" s="3"/>
      <c r="BD50" s="3"/>
      <c r="BE50" s="3"/>
      <c r="BF50" s="3"/>
      <c r="BG50" s="3"/>
      <c r="BH50" s="3"/>
      <c r="BI50" s="3"/>
    </row>
    <row r="51" spans="1:61" ht="15" customHeight="1">
      <c r="A51" s="206" t="str">
        <f>VLOOKUP(3580,ls!$B:$E,$BA$2,TRUE)</f>
        <v>公司地址</v>
      </c>
      <c r="B51" s="206"/>
      <c r="C51" s="206"/>
      <c r="D51" s="206"/>
      <c r="E51" s="74" t="s">
        <v>53</v>
      </c>
      <c r="F51" s="295"/>
      <c r="G51" s="295"/>
      <c r="H51" s="295"/>
      <c r="I51" s="295"/>
      <c r="J51" s="295"/>
      <c r="K51" s="295"/>
      <c r="L51" s="295"/>
      <c r="M51" s="295"/>
      <c r="N51" s="295"/>
      <c r="O51" s="295"/>
      <c r="P51" s="295"/>
      <c r="Q51" s="295"/>
      <c r="R51" s="295"/>
      <c r="S51" s="295"/>
      <c r="T51" s="295"/>
      <c r="U51" s="295"/>
      <c r="V51" s="295"/>
      <c r="W51" s="295"/>
      <c r="X51" s="295"/>
      <c r="Y51" s="295"/>
      <c r="Z51" s="295"/>
      <c r="AA51" s="296"/>
      <c r="AB51" s="220" t="str">
        <f>VLOOKUP(3590,ls!$B:$E,$BA$2,TRUE)</f>
        <v>公司电话号码</v>
      </c>
      <c r="AC51" s="221"/>
      <c r="AD51" s="221"/>
      <c r="AE51" s="222"/>
      <c r="AF51" s="74" t="s">
        <v>53</v>
      </c>
      <c r="AG51" s="309"/>
      <c r="AH51" s="309"/>
      <c r="AI51" s="309"/>
      <c r="AJ51" s="309"/>
      <c r="AK51" s="309"/>
      <c r="AL51" s="309"/>
      <c r="AM51" s="309"/>
      <c r="AN51" s="309"/>
      <c r="AO51" s="309"/>
      <c r="AP51" s="309"/>
      <c r="AQ51" s="310"/>
      <c r="AR51" s="2"/>
      <c r="AS51" s="274"/>
      <c r="AT51" s="275"/>
      <c r="AU51" s="275"/>
      <c r="AV51" s="275"/>
      <c r="AW51" s="275"/>
      <c r="AX51" s="275"/>
      <c r="AY51" s="275"/>
      <c r="AZ51" s="275"/>
      <c r="BA51" s="275"/>
      <c r="BB51" s="276"/>
      <c r="BC51" s="3"/>
      <c r="BD51" s="3"/>
      <c r="BE51" s="3"/>
      <c r="BF51" s="3"/>
      <c r="BG51" s="3"/>
      <c r="BH51" s="3"/>
      <c r="BI51" s="3"/>
    </row>
    <row r="52" spans="1:61" ht="15" customHeight="1">
      <c r="A52" s="205" t="str">
        <f>VLOOKUP(3580,ls!$B:$E,$BA$3,TRUE)</f>
        <v>Office Address</v>
      </c>
      <c r="B52" s="205"/>
      <c r="C52" s="205"/>
      <c r="D52" s="205"/>
      <c r="E52" s="75" t="s">
        <v>54</v>
      </c>
      <c r="F52" s="307"/>
      <c r="G52" s="307"/>
      <c r="H52" s="307"/>
      <c r="I52" s="307"/>
      <c r="J52" s="307"/>
      <c r="K52" s="307"/>
      <c r="L52" s="307"/>
      <c r="M52" s="307"/>
      <c r="N52" s="307"/>
      <c r="O52" s="307"/>
      <c r="P52" s="307"/>
      <c r="Q52" s="307"/>
      <c r="R52" s="307"/>
      <c r="S52" s="307"/>
      <c r="T52" s="307"/>
      <c r="U52" s="307"/>
      <c r="V52" s="307"/>
      <c r="W52" s="307"/>
      <c r="X52" s="307"/>
      <c r="Y52" s="307"/>
      <c r="Z52" s="307"/>
      <c r="AA52" s="308"/>
      <c r="AB52" s="257" t="str">
        <f>VLOOKUP(3590,ls!$B:$E,$BA$3,TRUE)</f>
        <v>Office Phone</v>
      </c>
      <c r="AC52" s="258"/>
      <c r="AD52" s="258"/>
      <c r="AE52" s="259"/>
      <c r="AF52" s="75" t="s">
        <v>54</v>
      </c>
      <c r="AG52" s="303"/>
      <c r="AH52" s="303"/>
      <c r="AI52" s="303"/>
      <c r="AJ52" s="303"/>
      <c r="AK52" s="303"/>
      <c r="AL52" s="303"/>
      <c r="AM52" s="303"/>
      <c r="AN52" s="303"/>
      <c r="AO52" s="303"/>
      <c r="AP52" s="303"/>
      <c r="AQ52" s="304"/>
      <c r="AR52" s="2"/>
      <c r="AS52" s="274"/>
      <c r="AT52" s="275"/>
      <c r="AU52" s="275"/>
      <c r="AV52" s="275"/>
      <c r="AW52" s="275"/>
      <c r="AX52" s="275"/>
      <c r="AY52" s="275"/>
      <c r="AZ52" s="275"/>
      <c r="BA52" s="275"/>
      <c r="BB52" s="276"/>
      <c r="BC52" s="3"/>
      <c r="BD52" s="3"/>
      <c r="BE52" s="3"/>
      <c r="BF52" s="3"/>
      <c r="BG52" s="3"/>
      <c r="BH52" s="3"/>
      <c r="BI52" s="3"/>
    </row>
    <row r="53" spans="1:61" ht="6.9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64"/>
      <c r="AS53" s="274"/>
      <c r="AT53" s="275"/>
      <c r="AU53" s="275"/>
      <c r="AV53" s="275"/>
      <c r="AW53" s="275"/>
      <c r="AX53" s="275"/>
      <c r="AY53" s="275"/>
      <c r="AZ53" s="275"/>
      <c r="BA53" s="275"/>
      <c r="BB53" s="276"/>
      <c r="BC53" s="3"/>
      <c r="BD53" s="3"/>
      <c r="BE53" s="3"/>
      <c r="BF53" s="3"/>
      <c r="BG53" s="3"/>
      <c r="BH53" s="3"/>
      <c r="BI53" s="3"/>
    </row>
    <row r="54" spans="1:61" ht="15" customHeight="1">
      <c r="A54" s="3" t="s">
        <v>50</v>
      </c>
      <c r="B54" s="159" t="str">
        <f>VLOOKUP(3600,ls!$B:$E,$BA$2,TRUE)</f>
        <v xml:space="preserve">在日本亲属 </v>
      </c>
      <c r="C54" s="159"/>
      <c r="D54" s="159"/>
      <c r="E54" s="159"/>
      <c r="F54" s="159"/>
      <c r="G54" s="159"/>
      <c r="H54" s="254" t="str">
        <f>"("&amp;VLOOKUP(3600,ls!$B:$E,$BA$3,TRUE)&amp;")"</f>
        <v>(Family in Japan)</v>
      </c>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Q54" s="254"/>
      <c r="AR54" s="64"/>
      <c r="AS54" s="274"/>
      <c r="AT54" s="275"/>
      <c r="AU54" s="275"/>
      <c r="AV54" s="275"/>
      <c r="AW54" s="275"/>
      <c r="AX54" s="275"/>
      <c r="AY54" s="275"/>
      <c r="AZ54" s="275"/>
      <c r="BA54" s="275"/>
      <c r="BB54" s="276"/>
      <c r="BC54" s="3"/>
      <c r="BD54" s="3"/>
      <c r="BE54" s="3"/>
      <c r="BF54" s="3"/>
      <c r="BG54" s="3"/>
      <c r="BH54" s="3"/>
      <c r="BI54" s="3"/>
    </row>
    <row r="55" spans="1:61" ht="15" customHeight="1">
      <c r="A55" s="311" t="str">
        <f>VLOOKUP(3560,ls!$B:$E,$BA$2,TRUE) &amp; "/" &amp; VLOOKUP(3560,ls!$B:$E,$BA$3,TRUE)</f>
        <v>关系/Relationship</v>
      </c>
      <c r="B55" s="312"/>
      <c r="C55" s="313"/>
      <c r="D55" s="320" t="str">
        <f>VLOOKUP(3610,ls!$B:$E,$BA$2,TRUE)</f>
        <v>姓名</v>
      </c>
      <c r="E55" s="321"/>
      <c r="F55" s="321"/>
      <c r="G55" s="321"/>
      <c r="H55" s="321"/>
      <c r="I55" s="321"/>
      <c r="J55" s="322"/>
      <c r="K55" s="320" t="str">
        <f>VLOOKUP(3140,ls!$B:$E,$BA$2,TRUE)</f>
        <v>出生年月日</v>
      </c>
      <c r="L55" s="321"/>
      <c r="M55" s="321"/>
      <c r="N55" s="322"/>
      <c r="O55" s="323" t="str">
        <f>VLOOKUP(3130,ls!$B:$E,$BA$2,TRUE)&amp;"/"&amp;VLOOKUP(3130,ls!$B:$E,$BA$3,TRUE)</f>
        <v>国籍/Nationality</v>
      </c>
      <c r="P55" s="324"/>
      <c r="Q55" s="325"/>
      <c r="R55" s="323" t="str">
        <f>VLOOKUP(3620,ls!$B:$E,$BA$2,TRUE)&amp;"/"&amp;VLOOKUP(3620,ls!$B:$E,$BA$3,TRUE)</f>
        <v>同居/Living together</v>
      </c>
      <c r="S55" s="324"/>
      <c r="T55" s="324"/>
      <c r="U55" s="325"/>
      <c r="V55" s="322" t="str">
        <f>VLOOKUP(3650,ls!$B:$E,$BA$2,TRUE)</f>
        <v>公司名称・学校名</v>
      </c>
      <c r="W55" s="332"/>
      <c r="X55" s="332"/>
      <c r="Y55" s="332"/>
      <c r="Z55" s="332"/>
      <c r="AA55" s="332"/>
      <c r="AB55" s="332"/>
      <c r="AC55" s="332" t="str">
        <f>VLOOKUP(3660,ls!$B:$E,$BA$2,TRUE)</f>
        <v>在留卡号</v>
      </c>
      <c r="AD55" s="332"/>
      <c r="AE55" s="332"/>
      <c r="AF55" s="332"/>
      <c r="AG55" s="332"/>
      <c r="AH55" s="332"/>
      <c r="AI55" s="332" t="str">
        <f>VLOOKUP(3670,ls!$B:$E,$BA$2,TRUE)</f>
        <v>地址(城市)</v>
      </c>
      <c r="AJ55" s="332"/>
      <c r="AK55" s="332"/>
      <c r="AL55" s="332"/>
      <c r="AM55" s="332" t="str">
        <f>VLOOKUP(3220,ls!$B:$E,$BA$2,TRUE)</f>
        <v>电话号码</v>
      </c>
      <c r="AN55" s="332"/>
      <c r="AO55" s="332"/>
      <c r="AP55" s="332"/>
      <c r="AQ55" s="332"/>
      <c r="AR55" s="2"/>
      <c r="AS55" s="274"/>
      <c r="AT55" s="275"/>
      <c r="AU55" s="275"/>
      <c r="AV55" s="275"/>
      <c r="AW55" s="275"/>
      <c r="AX55" s="275"/>
      <c r="AY55" s="275"/>
      <c r="AZ55" s="275"/>
      <c r="BA55" s="275"/>
      <c r="BB55" s="276"/>
      <c r="BC55" s="3"/>
      <c r="BD55" s="3"/>
      <c r="BE55" s="3"/>
      <c r="BF55" s="3"/>
      <c r="BG55" s="3"/>
      <c r="BH55" s="3"/>
      <c r="BI55" s="3"/>
    </row>
    <row r="56" spans="1:61" ht="15" customHeight="1">
      <c r="A56" s="314"/>
      <c r="B56" s="315"/>
      <c r="C56" s="316"/>
      <c r="D56" s="333" t="str">
        <f>VLOOKUP(3610,ls!$B:$E,$BA$3,TRUE)</f>
        <v>Full Name</v>
      </c>
      <c r="E56" s="124"/>
      <c r="F56" s="124"/>
      <c r="G56" s="124"/>
      <c r="H56" s="124"/>
      <c r="I56" s="124"/>
      <c r="J56" s="334"/>
      <c r="K56" s="333" t="str">
        <f>VLOOKUP(3140,ls!$B:$E,$BA$3,TRUE)</f>
        <v>Date of Birth</v>
      </c>
      <c r="L56" s="124"/>
      <c r="M56" s="124"/>
      <c r="N56" s="334"/>
      <c r="O56" s="326"/>
      <c r="P56" s="327"/>
      <c r="Q56" s="328"/>
      <c r="R56" s="326"/>
      <c r="S56" s="327"/>
      <c r="T56" s="327"/>
      <c r="U56" s="328"/>
      <c r="V56" s="333" t="str">
        <f>VLOOKUP(3650,ls!$B:$E,$BA$3,TRUE)</f>
        <v>Office, School</v>
      </c>
      <c r="W56" s="124"/>
      <c r="X56" s="124"/>
      <c r="Y56" s="124"/>
      <c r="Z56" s="124"/>
      <c r="AA56" s="124"/>
      <c r="AB56" s="334"/>
      <c r="AC56" s="333" t="str">
        <f>VLOOKUP(3660,ls!$B:$E,$BA$3,TRUE)</f>
        <v>Present Address</v>
      </c>
      <c r="AD56" s="124"/>
      <c r="AE56" s="124"/>
      <c r="AF56" s="124"/>
      <c r="AG56" s="124"/>
      <c r="AH56" s="334"/>
      <c r="AI56" s="326" t="str">
        <f>VLOOKUP(3670,ls!$B:$E,$BA$3,TRUE)</f>
        <v>ADD(City)</v>
      </c>
      <c r="AJ56" s="327"/>
      <c r="AK56" s="327"/>
      <c r="AL56" s="328"/>
      <c r="AM56" s="333" t="str">
        <f>VLOOKUP(3220,ls!$B:$E,$BA$3,TRUE)</f>
        <v>Phone</v>
      </c>
      <c r="AN56" s="124"/>
      <c r="AO56" s="124"/>
      <c r="AP56" s="124"/>
      <c r="AQ56" s="334"/>
      <c r="AR56" s="2"/>
      <c r="AS56" s="274"/>
      <c r="AT56" s="275"/>
      <c r="AU56" s="275"/>
      <c r="AV56" s="275"/>
      <c r="AW56" s="275"/>
      <c r="AX56" s="275"/>
      <c r="AY56" s="275"/>
      <c r="AZ56" s="275"/>
      <c r="BA56" s="275"/>
      <c r="BB56" s="276"/>
      <c r="BC56" s="3"/>
      <c r="BD56" s="3"/>
      <c r="BE56" s="3"/>
      <c r="BF56" s="3"/>
      <c r="BG56" s="3"/>
      <c r="BH56" s="3"/>
      <c r="BI56" s="3"/>
    </row>
    <row r="57" spans="1:61" ht="15" customHeight="1">
      <c r="A57" s="317"/>
      <c r="B57" s="318"/>
      <c r="C57" s="319"/>
      <c r="D57" s="257"/>
      <c r="E57" s="258"/>
      <c r="F57" s="258"/>
      <c r="G57" s="258"/>
      <c r="H57" s="258"/>
      <c r="I57" s="258"/>
      <c r="J57" s="259"/>
      <c r="K57" s="257" t="str">
        <f>VLOOKUP(3030,ls!$B:$E,$BA$2,TRUE)</f>
        <v>年</v>
      </c>
      <c r="L57" s="335"/>
      <c r="M57" s="76" t="str">
        <f>VLOOKUP(3040,ls!$B:$E,$BA$2,TRUE)</f>
        <v>月</v>
      </c>
      <c r="N57" s="77" t="str">
        <f>VLOOKUP(3050,ls!$B:$E,$BA$2,TRUE)</f>
        <v>日</v>
      </c>
      <c r="O57" s="329"/>
      <c r="P57" s="330"/>
      <c r="Q57" s="331"/>
      <c r="R57" s="257" t="str">
        <f>VLOOKUP(3630,ls!$B:$E,$BA$2,TRUE) &amp; "("&amp;VLOOKUP(3630,ls!$B:$E,$BA$3,TRUE)&amp;")"</f>
        <v>有(Y)</v>
      </c>
      <c r="S57" s="258"/>
      <c r="T57" s="258"/>
      <c r="U57" s="259"/>
      <c r="V57" s="257"/>
      <c r="W57" s="258"/>
      <c r="X57" s="258"/>
      <c r="Y57" s="258"/>
      <c r="Z57" s="258"/>
      <c r="AA57" s="258"/>
      <c r="AB57" s="259"/>
      <c r="AC57" s="257"/>
      <c r="AD57" s="258"/>
      <c r="AE57" s="258"/>
      <c r="AF57" s="258"/>
      <c r="AG57" s="258"/>
      <c r="AH57" s="259"/>
      <c r="AI57" s="329"/>
      <c r="AJ57" s="330"/>
      <c r="AK57" s="330"/>
      <c r="AL57" s="331"/>
      <c r="AM57" s="257"/>
      <c r="AN57" s="258"/>
      <c r="AO57" s="258"/>
      <c r="AP57" s="258"/>
      <c r="AQ57" s="259"/>
      <c r="AR57" s="2"/>
      <c r="AS57" s="274"/>
      <c r="AT57" s="275"/>
      <c r="AU57" s="275"/>
      <c r="AV57" s="275"/>
      <c r="AW57" s="275"/>
      <c r="AX57" s="275"/>
      <c r="AY57" s="275"/>
      <c r="AZ57" s="275"/>
      <c r="BA57" s="275"/>
      <c r="BB57" s="276"/>
      <c r="BC57" s="3"/>
      <c r="BD57" s="3"/>
      <c r="BE57" s="3"/>
      <c r="BF57" s="3"/>
      <c r="BG57" s="3"/>
      <c r="BH57" s="3"/>
      <c r="BI57" s="3"/>
    </row>
    <row r="58" spans="1:61" ht="15" customHeight="1">
      <c r="A58" s="195"/>
      <c r="B58" s="195"/>
      <c r="C58" s="195"/>
      <c r="D58" s="340"/>
      <c r="E58" s="341"/>
      <c r="F58" s="341"/>
      <c r="G58" s="341"/>
      <c r="H58" s="341"/>
      <c r="I58" s="341"/>
      <c r="J58" s="201"/>
      <c r="K58" s="342"/>
      <c r="L58" s="343"/>
      <c r="M58" s="78"/>
      <c r="N58" s="79"/>
      <c r="O58" s="195"/>
      <c r="P58" s="195"/>
      <c r="Q58" s="340"/>
      <c r="R58" s="344"/>
      <c r="S58" s="345"/>
      <c r="T58" s="345"/>
      <c r="U58" s="346"/>
      <c r="V58" s="201"/>
      <c r="W58" s="195"/>
      <c r="X58" s="195"/>
      <c r="Y58" s="195"/>
      <c r="Z58" s="195"/>
      <c r="AA58" s="195"/>
      <c r="AB58" s="195"/>
      <c r="AC58" s="336"/>
      <c r="AD58" s="336"/>
      <c r="AE58" s="336"/>
      <c r="AF58" s="336"/>
      <c r="AG58" s="336"/>
      <c r="AH58" s="336"/>
      <c r="AI58" s="195"/>
      <c r="AJ58" s="195"/>
      <c r="AK58" s="195"/>
      <c r="AL58" s="195"/>
      <c r="AM58" s="337"/>
      <c r="AN58" s="338"/>
      <c r="AO58" s="338"/>
      <c r="AP58" s="338"/>
      <c r="AQ58" s="339"/>
      <c r="AR58" s="2"/>
      <c r="AS58" s="274"/>
      <c r="AT58" s="275"/>
      <c r="AU58" s="275"/>
      <c r="AV58" s="275"/>
      <c r="AW58" s="275"/>
      <c r="AX58" s="275"/>
      <c r="AY58" s="275"/>
      <c r="AZ58" s="275"/>
      <c r="BA58" s="275"/>
      <c r="BB58" s="276"/>
      <c r="BC58" s="3"/>
      <c r="BD58" s="3"/>
      <c r="BE58" s="3"/>
      <c r="BF58" s="3"/>
      <c r="BG58" s="3"/>
      <c r="BH58" s="3"/>
      <c r="BI58" s="3"/>
    </row>
    <row r="59" spans="1:61" ht="15" customHeight="1">
      <c r="A59" s="195"/>
      <c r="B59" s="195"/>
      <c r="C59" s="195"/>
      <c r="D59" s="340"/>
      <c r="E59" s="341"/>
      <c r="F59" s="341"/>
      <c r="G59" s="341"/>
      <c r="H59" s="341"/>
      <c r="I59" s="341"/>
      <c r="J59" s="201"/>
      <c r="K59" s="342"/>
      <c r="L59" s="343"/>
      <c r="M59" s="78"/>
      <c r="N59" s="79"/>
      <c r="O59" s="195"/>
      <c r="P59" s="195"/>
      <c r="Q59" s="340"/>
      <c r="R59" s="344"/>
      <c r="S59" s="345"/>
      <c r="T59" s="345"/>
      <c r="U59" s="346"/>
      <c r="V59" s="201"/>
      <c r="W59" s="195"/>
      <c r="X59" s="195"/>
      <c r="Y59" s="195"/>
      <c r="Z59" s="195"/>
      <c r="AA59" s="195"/>
      <c r="AB59" s="195"/>
      <c r="AC59" s="336"/>
      <c r="AD59" s="336"/>
      <c r="AE59" s="336"/>
      <c r="AF59" s="336"/>
      <c r="AG59" s="336"/>
      <c r="AH59" s="336"/>
      <c r="AI59" s="195"/>
      <c r="AJ59" s="195"/>
      <c r="AK59" s="195"/>
      <c r="AL59" s="195"/>
      <c r="AM59" s="337"/>
      <c r="AN59" s="338"/>
      <c r="AO59" s="338"/>
      <c r="AP59" s="338"/>
      <c r="AQ59" s="339"/>
      <c r="AR59" s="2"/>
      <c r="AS59" s="274"/>
      <c r="AT59" s="275"/>
      <c r="AU59" s="275"/>
      <c r="AV59" s="275"/>
      <c r="AW59" s="275"/>
      <c r="AX59" s="275"/>
      <c r="AY59" s="275"/>
      <c r="AZ59" s="275"/>
      <c r="BA59" s="275"/>
      <c r="BB59" s="276"/>
      <c r="BC59" s="3"/>
      <c r="BD59" s="3"/>
      <c r="BE59" s="3"/>
      <c r="BF59" s="3"/>
      <c r="BG59" s="3"/>
      <c r="BH59" s="3"/>
      <c r="BI59" s="3"/>
    </row>
    <row r="60" spans="1:61" ht="15" customHeight="1">
      <c r="A60" s="195"/>
      <c r="B60" s="195"/>
      <c r="C60" s="195"/>
      <c r="D60" s="340"/>
      <c r="E60" s="341"/>
      <c r="F60" s="341"/>
      <c r="G60" s="341"/>
      <c r="H60" s="341"/>
      <c r="I60" s="341"/>
      <c r="J60" s="201"/>
      <c r="K60" s="342"/>
      <c r="L60" s="343"/>
      <c r="M60" s="78"/>
      <c r="N60" s="79"/>
      <c r="O60" s="195"/>
      <c r="P60" s="195"/>
      <c r="Q60" s="340"/>
      <c r="R60" s="344"/>
      <c r="S60" s="345"/>
      <c r="T60" s="345"/>
      <c r="U60" s="346"/>
      <c r="V60" s="201"/>
      <c r="W60" s="195"/>
      <c r="X60" s="195"/>
      <c r="Y60" s="195"/>
      <c r="Z60" s="195"/>
      <c r="AA60" s="195"/>
      <c r="AB60" s="195"/>
      <c r="AC60" s="336"/>
      <c r="AD60" s="336"/>
      <c r="AE60" s="336"/>
      <c r="AF60" s="336"/>
      <c r="AG60" s="336"/>
      <c r="AH60" s="336"/>
      <c r="AI60" s="195"/>
      <c r="AJ60" s="195"/>
      <c r="AK60" s="195"/>
      <c r="AL60" s="195"/>
      <c r="AM60" s="337"/>
      <c r="AN60" s="338"/>
      <c r="AO60" s="338"/>
      <c r="AP60" s="338"/>
      <c r="AQ60" s="339"/>
      <c r="AR60" s="2"/>
      <c r="AS60" s="277"/>
      <c r="AT60" s="278"/>
      <c r="AU60" s="278"/>
      <c r="AV60" s="278"/>
      <c r="AW60" s="278"/>
      <c r="AX60" s="278"/>
      <c r="AY60" s="278"/>
      <c r="AZ60" s="278"/>
      <c r="BA60" s="278"/>
      <c r="BB60" s="279"/>
      <c r="BC60" s="3"/>
      <c r="BD60" s="3"/>
      <c r="BE60" s="3"/>
      <c r="BF60" s="3"/>
      <c r="BG60" s="3"/>
      <c r="BH60" s="3"/>
      <c r="BI60" s="3"/>
    </row>
    <row r="61" spans="1:61" ht="15" customHeight="1">
      <c r="A61" s="3"/>
      <c r="B61" s="3"/>
      <c r="C61" s="3"/>
      <c r="D61" s="3"/>
      <c r="E61" s="3"/>
      <c r="F61" s="3"/>
      <c r="G61" s="3"/>
      <c r="H61" s="19"/>
      <c r="I61" s="19"/>
      <c r="J61" s="19"/>
      <c r="K61" s="19"/>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64"/>
      <c r="AS61" s="3"/>
      <c r="AT61" s="3"/>
      <c r="AU61" s="3"/>
      <c r="AV61" s="3"/>
      <c r="AW61" s="3"/>
      <c r="AX61" s="19"/>
      <c r="AY61" s="3"/>
      <c r="AZ61" s="3"/>
      <c r="BA61" s="3"/>
      <c r="BB61" s="3"/>
      <c r="BC61" s="3"/>
      <c r="BD61" s="3"/>
      <c r="BE61" s="3"/>
      <c r="BF61" s="3"/>
      <c r="BG61" s="3"/>
      <c r="BH61" s="3"/>
      <c r="BI61" s="3"/>
    </row>
    <row r="62" spans="1:61" ht="15" customHeight="1">
      <c r="A62" s="119" t="str">
        <f>VLOOKUP(3690,ls!$B:$E,$BA$2,TRUE)</f>
        <v>以上内容属实。</v>
      </c>
      <c r="B62" s="119"/>
      <c r="C62" s="119"/>
      <c r="D62" s="119"/>
      <c r="E62" s="119"/>
      <c r="F62" s="119"/>
      <c r="G62" s="119"/>
      <c r="H62" s="119"/>
      <c r="I62" s="119"/>
      <c r="J62" s="119"/>
      <c r="K62" s="119"/>
      <c r="L62" s="119"/>
      <c r="M62" s="119"/>
      <c r="N62" s="119"/>
      <c r="O62" s="119"/>
      <c r="P62" s="119"/>
      <c r="Q62" s="119"/>
      <c r="R62" s="119"/>
      <c r="S62" s="119"/>
      <c r="T62" s="119"/>
      <c r="U62" s="347">
        <f>Resume!X107</f>
        <v>0</v>
      </c>
      <c r="V62" s="347"/>
      <c r="W62" s="347"/>
      <c r="X62" s="347"/>
      <c r="Y62" s="2" t="str">
        <f>VLOOKUP(3030,ls!$B:$E,$BA$2,TRUE)</f>
        <v>年</v>
      </c>
      <c r="Z62" s="347">
        <f>Resume!AD107</f>
        <v>0</v>
      </c>
      <c r="AA62" s="347"/>
      <c r="AB62" s="2" t="str">
        <f>VLOOKUP(3040,ls!$B:$E,$BA$2,TRUE)</f>
        <v>月</v>
      </c>
      <c r="AC62" s="347">
        <f>Resume!AJ107</f>
        <v>0</v>
      </c>
      <c r="AD62" s="347"/>
      <c r="AE62" s="2" t="str">
        <f>VLOOKUP(3050,ls!$B:$E,$BA$2,TRUE)</f>
        <v>日</v>
      </c>
      <c r="AF62" s="140" t="str">
        <f>VLOOKUP(3700,ls!$B:$E,$BA$2,TRUE)</f>
        <v>本人署名</v>
      </c>
      <c r="AG62" s="140"/>
      <c r="AH62" s="140"/>
      <c r="AI62" s="140"/>
      <c r="AJ62" s="120"/>
      <c r="AK62" s="120"/>
      <c r="AL62" s="120"/>
      <c r="AM62" s="120"/>
      <c r="AN62" s="120"/>
      <c r="AO62" s="120"/>
      <c r="AP62" s="120"/>
      <c r="AQ62" s="120"/>
      <c r="AR62" s="64"/>
      <c r="AS62" s="3"/>
      <c r="AT62" s="3"/>
      <c r="AU62" s="3"/>
      <c r="AV62" s="3"/>
      <c r="AW62" s="3"/>
      <c r="AX62" s="19"/>
      <c r="AY62" s="3"/>
      <c r="AZ62" s="3"/>
      <c r="BA62" s="3"/>
      <c r="BB62" s="3"/>
      <c r="BC62" s="3"/>
      <c r="BD62" s="3"/>
      <c r="BE62" s="3"/>
      <c r="BF62" s="3"/>
      <c r="BG62" s="3"/>
      <c r="BH62" s="3"/>
      <c r="BI62" s="3"/>
    </row>
    <row r="63" spans="1:61" ht="15" customHeight="1">
      <c r="A63" s="123" t="str">
        <f>VLOOKUP(3690,ls!$B:$E,$BA$3,TRUE)</f>
        <v>I hereby declare the statements above to be true and correct．</v>
      </c>
      <c r="B63" s="123"/>
      <c r="C63" s="123"/>
      <c r="D63" s="123"/>
      <c r="E63" s="123"/>
      <c r="F63" s="123"/>
      <c r="G63" s="123"/>
      <c r="H63" s="123"/>
      <c r="I63" s="123"/>
      <c r="J63" s="123"/>
      <c r="K63" s="123"/>
      <c r="L63" s="123"/>
      <c r="M63" s="123"/>
      <c r="N63" s="123"/>
      <c r="O63" s="123"/>
      <c r="P63" s="123"/>
      <c r="Q63" s="123"/>
      <c r="R63" s="123"/>
      <c r="S63" s="123"/>
      <c r="T63" s="123"/>
      <c r="U63" s="348"/>
      <c r="V63" s="348"/>
      <c r="W63" s="348"/>
      <c r="X63" s="348"/>
      <c r="Y63" s="22" t="str">
        <f>VLOOKUP(3030,ls!$B:$E,$BA$3,TRUE)</f>
        <v>Y</v>
      </c>
      <c r="Z63" s="348"/>
      <c r="AA63" s="348"/>
      <c r="AB63" s="22" t="str">
        <f>VLOOKUP(3040,ls!$B:$E,$BA$3,TRUE)</f>
        <v>M</v>
      </c>
      <c r="AC63" s="348"/>
      <c r="AD63" s="348"/>
      <c r="AE63" s="22" t="str">
        <f>VLOOKUP(3050,ls!$B:$E,$BA$3,TRUE)</f>
        <v>D</v>
      </c>
      <c r="AF63" s="172" t="str">
        <f>VLOOKUP(3700,ls!$B:$E,$BA$3,TRUE)</f>
        <v>Signature</v>
      </c>
      <c r="AG63" s="172"/>
      <c r="AH63" s="172"/>
      <c r="AI63" s="172"/>
      <c r="AJ63" s="137"/>
      <c r="AK63" s="137"/>
      <c r="AL63" s="137"/>
      <c r="AM63" s="137"/>
      <c r="AN63" s="137"/>
      <c r="AO63" s="137"/>
      <c r="AP63" s="137"/>
      <c r="AQ63" s="137"/>
      <c r="AR63" s="64"/>
      <c r="AS63" s="3"/>
      <c r="AT63" s="3"/>
      <c r="AU63" s="3"/>
      <c r="AV63" s="3"/>
      <c r="AW63" s="3"/>
      <c r="AX63" s="19"/>
      <c r="AY63" s="3"/>
      <c r="AZ63" s="3"/>
      <c r="BA63" s="3"/>
      <c r="BB63" s="3"/>
      <c r="BC63" s="3"/>
      <c r="BD63" s="3"/>
      <c r="BE63" s="3"/>
      <c r="BF63" s="3"/>
      <c r="BG63" s="3"/>
      <c r="BH63" s="3"/>
      <c r="BI63" s="3"/>
    </row>
    <row r="64" spans="1:61" ht="15" customHeight="1">
      <c r="A64" s="80"/>
      <c r="B64" s="80"/>
      <c r="C64" s="80"/>
      <c r="D64" s="80"/>
      <c r="E64" s="80"/>
      <c r="F64" s="80"/>
      <c r="G64" s="80"/>
      <c r="H64" s="80"/>
      <c r="I64" s="80"/>
      <c r="J64" s="80"/>
      <c r="K64" s="80"/>
      <c r="L64" s="80"/>
      <c r="M64" s="80"/>
      <c r="N64" s="80"/>
      <c r="O64" s="80"/>
      <c r="P64" s="80"/>
      <c r="Q64" s="80"/>
      <c r="R64" s="80"/>
      <c r="S64" s="80"/>
      <c r="T64" s="80"/>
      <c r="U64" s="3"/>
      <c r="V64" s="3"/>
      <c r="W64" s="3"/>
      <c r="X64" s="3"/>
      <c r="Y64" s="80"/>
      <c r="Z64" s="3"/>
      <c r="AA64" s="3"/>
      <c r="AB64" s="80"/>
      <c r="AC64" s="3"/>
      <c r="AD64" s="3"/>
      <c r="AE64" s="80"/>
      <c r="AF64" s="80"/>
      <c r="AG64" s="80"/>
      <c r="AH64" s="80"/>
      <c r="AI64" s="80"/>
      <c r="AJ64" s="3"/>
      <c r="AK64" s="3"/>
      <c r="AL64" s="3"/>
      <c r="AM64" s="3"/>
      <c r="AN64" s="3"/>
      <c r="AO64" s="3"/>
      <c r="AP64" s="3"/>
      <c r="AQ64" s="3"/>
      <c r="AR64" s="2"/>
      <c r="AS64" s="3"/>
      <c r="AT64" s="3"/>
      <c r="AU64" s="3"/>
      <c r="AV64" s="3"/>
      <c r="AW64" s="3"/>
      <c r="AX64" s="19"/>
      <c r="AY64" s="3"/>
      <c r="AZ64" s="3"/>
      <c r="BA64" s="3"/>
      <c r="BB64" s="3"/>
      <c r="BC64" s="3"/>
      <c r="BD64" s="3"/>
      <c r="BE64" s="3"/>
      <c r="BF64" s="3"/>
      <c r="BG64" s="3"/>
      <c r="BH64" s="3"/>
      <c r="BI64" s="3"/>
    </row>
  </sheetData>
  <sheetProtection algorithmName="SHA-512" hashValue="eK+TKhHXI3hsi/Iz1+b58LCUnghW9MmDLRzJMXv3KhHGWps0Pui05UtEVyFcN11GDDUNsd4RGKkrjr/M/Sum3A==" saltValue="ojE2VD86Em1MRJoXqQ2pGA==" spinCount="100000" sheet="1" formatCells="0" selectLockedCells="1"/>
  <mergeCells count="252">
    <mergeCell ref="A62:T62"/>
    <mergeCell ref="U62:X63"/>
    <mergeCell ref="Z62:AA63"/>
    <mergeCell ref="AC62:AD63"/>
    <mergeCell ref="AF62:AI62"/>
    <mergeCell ref="AJ62:AQ63"/>
    <mergeCell ref="A63:T63"/>
    <mergeCell ref="AF63:AI63"/>
    <mergeCell ref="A60:C60"/>
    <mergeCell ref="D60:J60"/>
    <mergeCell ref="K60:L60"/>
    <mergeCell ref="O60:Q60"/>
    <mergeCell ref="R60:U60"/>
    <mergeCell ref="V60:AB60"/>
    <mergeCell ref="AC60:AH60"/>
    <mergeCell ref="AI60:AL60"/>
    <mergeCell ref="AM60:AQ60"/>
    <mergeCell ref="AC58:AH58"/>
    <mergeCell ref="AI58:AL58"/>
    <mergeCell ref="AM58:AQ58"/>
    <mergeCell ref="A59:C59"/>
    <mergeCell ref="D59:J59"/>
    <mergeCell ref="K59:L59"/>
    <mergeCell ref="O59:Q59"/>
    <mergeCell ref="R59:U59"/>
    <mergeCell ref="V59:AB59"/>
    <mergeCell ref="AC59:AH59"/>
    <mergeCell ref="A58:C58"/>
    <mergeCell ref="D58:J58"/>
    <mergeCell ref="K58:L58"/>
    <mergeCell ref="O58:Q58"/>
    <mergeCell ref="R58:U58"/>
    <mergeCell ref="V58:AB58"/>
    <mergeCell ref="AI59:AL59"/>
    <mergeCell ref="AM59:AQ59"/>
    <mergeCell ref="AI55:AL55"/>
    <mergeCell ref="AM55:AQ55"/>
    <mergeCell ref="D56:J57"/>
    <mergeCell ref="K56:N56"/>
    <mergeCell ref="V56:AB57"/>
    <mergeCell ref="AC56:AH57"/>
    <mergeCell ref="AI56:AL57"/>
    <mergeCell ref="AM56:AQ57"/>
    <mergeCell ref="K57:L57"/>
    <mergeCell ref="A55:C57"/>
    <mergeCell ref="D55:J55"/>
    <mergeCell ref="K55:N55"/>
    <mergeCell ref="O55:Q57"/>
    <mergeCell ref="R55:U56"/>
    <mergeCell ref="V55:AB55"/>
    <mergeCell ref="R57:U57"/>
    <mergeCell ref="A52:D52"/>
    <mergeCell ref="F52:AA52"/>
    <mergeCell ref="AB52:AE52"/>
    <mergeCell ref="AC55:AH55"/>
    <mergeCell ref="F47:AA47"/>
    <mergeCell ref="AB47:AE47"/>
    <mergeCell ref="AG47:AQ47"/>
    <mergeCell ref="AG52:AQ52"/>
    <mergeCell ref="B54:G54"/>
    <mergeCell ref="H54:AQ54"/>
    <mergeCell ref="A50:D50"/>
    <mergeCell ref="F50:L50"/>
    <mergeCell ref="M50:P50"/>
    <mergeCell ref="R50:AQ50"/>
    <mergeCell ref="A51:D51"/>
    <mergeCell ref="F51:AA51"/>
    <mergeCell ref="AB51:AE51"/>
    <mergeCell ref="AG51:AQ51"/>
    <mergeCell ref="AS43:BB60"/>
    <mergeCell ref="E44:O44"/>
    <mergeCell ref="P44:Y44"/>
    <mergeCell ref="Z44:AE44"/>
    <mergeCell ref="AF44:AQ44"/>
    <mergeCell ref="A45:D45"/>
    <mergeCell ref="F45:O45"/>
    <mergeCell ref="P45:Y45"/>
    <mergeCell ref="Z45:AE45"/>
    <mergeCell ref="AF45:AQ45"/>
    <mergeCell ref="A48:D48"/>
    <mergeCell ref="F48:AA48"/>
    <mergeCell ref="AB48:AE48"/>
    <mergeCell ref="AG48:AQ48"/>
    <mergeCell ref="A49:D49"/>
    <mergeCell ref="F49:L49"/>
    <mergeCell ref="M49:P49"/>
    <mergeCell ref="R49:AQ49"/>
    <mergeCell ref="A46:D46"/>
    <mergeCell ref="F46:O46"/>
    <mergeCell ref="P46:Y46"/>
    <mergeCell ref="Z46:AE46"/>
    <mergeCell ref="AF46:AQ46"/>
    <mergeCell ref="A47:D47"/>
    <mergeCell ref="W37:AD37"/>
    <mergeCell ref="AB35:AD35"/>
    <mergeCell ref="AF35:AH35"/>
    <mergeCell ref="AI35:AJ36"/>
    <mergeCell ref="AK35:AN35"/>
    <mergeCell ref="AO35:AQ36"/>
    <mergeCell ref="B42:AP42"/>
    <mergeCell ref="A43:D44"/>
    <mergeCell ref="E43:O43"/>
    <mergeCell ref="P43:Y43"/>
    <mergeCell ref="Z43:AE43"/>
    <mergeCell ref="AF43:AQ43"/>
    <mergeCell ref="B38:AP38"/>
    <mergeCell ref="B39:B40"/>
    <mergeCell ref="C39:F39"/>
    <mergeCell ref="G39:G40"/>
    <mergeCell ref="H39:K39"/>
    <mergeCell ref="M39:AP39"/>
    <mergeCell ref="C40:F40"/>
    <mergeCell ref="H40:K40"/>
    <mergeCell ref="M40:AP40"/>
    <mergeCell ref="A36:F36"/>
    <mergeCell ref="H36:K36"/>
    <mergeCell ref="L36:O36"/>
    <mergeCell ref="P36:S36"/>
    <mergeCell ref="T36:W36"/>
    <mergeCell ref="Y34:AA34"/>
    <mergeCell ref="AB34:AD34"/>
    <mergeCell ref="AF34:AQ34"/>
    <mergeCell ref="AS34:AU34"/>
    <mergeCell ref="A35:F35"/>
    <mergeCell ref="H35:K35"/>
    <mergeCell ref="L35:O35"/>
    <mergeCell ref="P35:S35"/>
    <mergeCell ref="T35:W35"/>
    <mergeCell ref="Y35:AA35"/>
    <mergeCell ref="Y36:AA36"/>
    <mergeCell ref="AB36:AD36"/>
    <mergeCell ref="AF36:AH36"/>
    <mergeCell ref="AK36:AN36"/>
    <mergeCell ref="AS36:AU36"/>
    <mergeCell ref="B32:AQ32"/>
    <mergeCell ref="A33:F34"/>
    <mergeCell ref="H33:W33"/>
    <mergeCell ref="Y33:AA33"/>
    <mergeCell ref="AB33:AD33"/>
    <mergeCell ref="AF33:AQ33"/>
    <mergeCell ref="H34:K34"/>
    <mergeCell ref="L34:O34"/>
    <mergeCell ref="P34:S34"/>
    <mergeCell ref="T34:W34"/>
    <mergeCell ref="AS26:AU26"/>
    <mergeCell ref="B28:AQ28"/>
    <mergeCell ref="A29:A30"/>
    <mergeCell ref="B29:B30"/>
    <mergeCell ref="C29:E29"/>
    <mergeCell ref="F29:F30"/>
    <mergeCell ref="G29:J29"/>
    <mergeCell ref="L29:O29"/>
    <mergeCell ref="P29:R30"/>
    <mergeCell ref="T29:U30"/>
    <mergeCell ref="W29:X30"/>
    <mergeCell ref="AA29:AD29"/>
    <mergeCell ref="AE29:AH30"/>
    <mergeCell ref="AJ29:AM29"/>
    <mergeCell ref="AN29:AQ30"/>
    <mergeCell ref="C30:E30"/>
    <mergeCell ref="G30:J30"/>
    <mergeCell ref="L30:O30"/>
    <mergeCell ref="AA30:AD30"/>
    <mergeCell ref="AJ30:AM30"/>
    <mergeCell ref="X25:Z25"/>
    <mergeCell ref="AA25:AC26"/>
    <mergeCell ref="AE25:AF26"/>
    <mergeCell ref="AH25:AI26"/>
    <mergeCell ref="AK25:AN25"/>
    <mergeCell ref="AO25:AQ26"/>
    <mergeCell ref="X26:Z26"/>
    <mergeCell ref="AK26:AN26"/>
    <mergeCell ref="A25:D25"/>
    <mergeCell ref="E25:I26"/>
    <mergeCell ref="J25:M25"/>
    <mergeCell ref="N25:P26"/>
    <mergeCell ref="R25:S26"/>
    <mergeCell ref="U25:V26"/>
    <mergeCell ref="A26:D26"/>
    <mergeCell ref="J26:M26"/>
    <mergeCell ref="AJ23:AM23"/>
    <mergeCell ref="AN23:AQ24"/>
    <mergeCell ref="A24:D24"/>
    <mergeCell ref="J24:M24"/>
    <mergeCell ref="Z24:AC24"/>
    <mergeCell ref="AJ24:AM24"/>
    <mergeCell ref="A23:D23"/>
    <mergeCell ref="E23:I24"/>
    <mergeCell ref="J23:M23"/>
    <mergeCell ref="N23:Y24"/>
    <mergeCell ref="Z23:AC23"/>
    <mergeCell ref="AD23:AI24"/>
    <mergeCell ref="A21:D21"/>
    <mergeCell ref="E21:I22"/>
    <mergeCell ref="J21:M21"/>
    <mergeCell ref="N21:AI22"/>
    <mergeCell ref="AJ21:AQ21"/>
    <mergeCell ref="A22:D22"/>
    <mergeCell ref="J22:M22"/>
    <mergeCell ref="AJ22:AQ22"/>
    <mergeCell ref="X19:Z19"/>
    <mergeCell ref="AA19:AC20"/>
    <mergeCell ref="AD19:AF19"/>
    <mergeCell ref="AG19:AI20"/>
    <mergeCell ref="AJ19:AQ19"/>
    <mergeCell ref="A20:D20"/>
    <mergeCell ref="J20:M20"/>
    <mergeCell ref="X20:Z20"/>
    <mergeCell ref="AD20:AF20"/>
    <mergeCell ref="AJ20:AQ20"/>
    <mergeCell ref="A19:D19"/>
    <mergeCell ref="E19:I20"/>
    <mergeCell ref="J19:M19"/>
    <mergeCell ref="N19:P20"/>
    <mergeCell ref="R19:S20"/>
    <mergeCell ref="U19:V20"/>
    <mergeCell ref="A17:D17"/>
    <mergeCell ref="E17:P18"/>
    <mergeCell ref="Q17:AI18"/>
    <mergeCell ref="AJ17:AQ17"/>
    <mergeCell ref="A18:D18"/>
    <mergeCell ref="AJ18:AQ18"/>
    <mergeCell ref="A14:D14"/>
    <mergeCell ref="E14:P14"/>
    <mergeCell ref="Q14:AI14"/>
    <mergeCell ref="AJ14:AQ14"/>
    <mergeCell ref="A15:D15"/>
    <mergeCell ref="E15:P16"/>
    <mergeCell ref="Q15:AI16"/>
    <mergeCell ref="AJ15:AQ15"/>
    <mergeCell ref="A16:D16"/>
    <mergeCell ref="AJ16:AQ16"/>
    <mergeCell ref="AS9:AU9"/>
    <mergeCell ref="B11:AQ11"/>
    <mergeCell ref="A12:P13"/>
    <mergeCell ref="Q12:AQ13"/>
    <mergeCell ref="H6:L6"/>
    <mergeCell ref="M6:AE6"/>
    <mergeCell ref="J8:M8"/>
    <mergeCell ref="N8:R9"/>
    <mergeCell ref="T8:V9"/>
    <mergeCell ref="Y8:AB8"/>
    <mergeCell ref="AC8:AD9"/>
    <mergeCell ref="G1:AK2"/>
    <mergeCell ref="AL1:AM2"/>
    <mergeCell ref="AN1:AQ2"/>
    <mergeCell ref="G3:AK3"/>
    <mergeCell ref="H5:L5"/>
    <mergeCell ref="M5:AE5"/>
    <mergeCell ref="AF8:AG9"/>
    <mergeCell ref="J9:M9"/>
    <mergeCell ref="Y9:AB9"/>
  </mergeCells>
  <phoneticPr fontId="3"/>
  <conditionalFormatting sqref="P29:R30 T29:U30 W29:X30 AE29:AH30 AN29:AQ30">
    <cfRule type="expression" dxfId="6" priority="6" stopIfTrue="1">
      <formula>$BA$28&lt;&gt;3</formula>
    </cfRule>
  </conditionalFormatting>
  <conditionalFormatting sqref="B39:F40">
    <cfRule type="expression" dxfId="5" priority="4" stopIfTrue="1">
      <formula>$BA$38=2</formula>
    </cfRule>
  </conditionalFormatting>
  <conditionalFormatting sqref="G39:K40">
    <cfRule type="expression" dxfId="4" priority="5" stopIfTrue="1">
      <formula>$BA$38=3</formula>
    </cfRule>
  </conditionalFormatting>
  <conditionalFormatting sqref="B29:E30">
    <cfRule type="expression" dxfId="3" priority="2" stopIfTrue="1">
      <formula>$BA$28=2</formula>
    </cfRule>
  </conditionalFormatting>
  <conditionalFormatting sqref="F29:J30">
    <cfRule type="expression" dxfId="2" priority="3" stopIfTrue="1">
      <formula>$BA$28=3</formula>
    </cfRule>
  </conditionalFormatting>
  <conditionalFormatting sqref="R58:R60">
    <cfRule type="expression" dxfId="1" priority="7" stopIfTrue="1">
      <formula>$AW58=1</formula>
    </cfRule>
  </conditionalFormatting>
  <conditionalFormatting sqref="AF45 F49 R49 F51 AG51">
    <cfRule type="expression" dxfId="0" priority="1" stopIfTrue="1">
      <formula>F45=""</formula>
    </cfRule>
  </conditionalFormatting>
  <pageMargins left="0.59" right="0.59" top="0.59" bottom="0.59" header="0" footer="0"/>
  <pageSetup paperSize="9" scale="95" orientation="portrait" blackAndWhite="1"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ist Box 36">
              <controlPr defaultSize="0" autoLine="0" autoPict="0">
                <anchor moveWithCells="1">
                  <from>
                    <xdr:col>44</xdr:col>
                    <xdr:colOff>0</xdr:colOff>
                    <xdr:row>27</xdr:row>
                    <xdr:rowOff>0</xdr:rowOff>
                  </from>
                  <to>
                    <xdr:col>53</xdr:col>
                    <xdr:colOff>523875</xdr:colOff>
                    <xdr:row>30</xdr:row>
                    <xdr:rowOff>0</xdr:rowOff>
                  </to>
                </anchor>
              </controlPr>
            </control>
          </mc:Choice>
        </mc:AlternateContent>
        <mc:AlternateContent xmlns:mc="http://schemas.openxmlformats.org/markup-compatibility/2006">
          <mc:Choice Requires="x14">
            <control shapeId="3074" r:id="rId5" name="List Box 1026">
              <controlPr defaultSize="0" autoLine="0" autoPict="0">
                <anchor moveWithCells="1">
                  <from>
                    <xdr:col>44</xdr:col>
                    <xdr:colOff>0</xdr:colOff>
                    <xdr:row>37</xdr:row>
                    <xdr:rowOff>0</xdr:rowOff>
                  </from>
                  <to>
                    <xdr:col>53</xdr:col>
                    <xdr:colOff>523875</xdr:colOff>
                    <xdr:row>40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A42A2-E66F-4C6B-AB4E-FC462CD649DA}">
  <sheetPr codeName="Sheet5"/>
  <dimension ref="A1:M7"/>
  <sheetViews>
    <sheetView topLeftCell="A2" workbookViewId="0">
      <selection activeCell="G26" sqref="G26"/>
    </sheetView>
  </sheetViews>
  <sheetFormatPr defaultColWidth="9" defaultRowHeight="13.5"/>
  <cols>
    <col min="1" max="1" width="24.625" customWidth="1"/>
    <col min="2" max="2" width="15.625" customWidth="1"/>
    <col min="3" max="3" width="6" customWidth="1"/>
    <col min="4" max="4" width="10.125" customWidth="1"/>
    <col min="5" max="6" width="8" customWidth="1"/>
    <col min="7" max="7" width="34.375" customWidth="1"/>
    <col min="8" max="8" width="23.75" customWidth="1"/>
    <col min="9" max="9" width="13.625" customWidth="1"/>
    <col min="10" max="10" width="12.625" customWidth="1"/>
    <col min="11" max="11" width="22.75" customWidth="1"/>
    <col min="12" max="12" width="20" customWidth="1"/>
  </cols>
  <sheetData>
    <row r="1" spans="1:13" hidden="1"/>
    <row r="2" spans="1:13">
      <c r="A2" s="349" t="s">
        <v>55</v>
      </c>
      <c r="B2" s="349"/>
      <c r="C2" s="349"/>
      <c r="D2" s="349"/>
      <c r="E2" s="349"/>
      <c r="F2" s="349"/>
      <c r="G2" s="349"/>
      <c r="H2" s="349"/>
      <c r="I2" s="349"/>
      <c r="J2" s="349"/>
      <c r="K2" s="349"/>
      <c r="L2" s="349"/>
    </row>
    <row r="3" spans="1:13" ht="4.5" customHeight="1"/>
    <row r="4" spans="1:13" ht="14.25">
      <c r="A4" s="81" t="s">
        <v>56</v>
      </c>
      <c r="B4" s="82" t="s">
        <v>57</v>
      </c>
      <c r="C4" s="81" t="s">
        <v>58</v>
      </c>
      <c r="D4" s="81" t="s">
        <v>59</v>
      </c>
      <c r="E4" s="83" t="s">
        <v>60</v>
      </c>
      <c r="F4" s="83" t="s">
        <v>61</v>
      </c>
      <c r="G4" s="83" t="s">
        <v>62</v>
      </c>
      <c r="H4" s="84" t="s">
        <v>63</v>
      </c>
      <c r="I4" s="83" t="s">
        <v>64</v>
      </c>
      <c r="J4" s="85" t="s">
        <v>65</v>
      </c>
      <c r="K4" s="83" t="s">
        <v>66</v>
      </c>
      <c r="L4" s="83" t="s">
        <v>67</v>
      </c>
    </row>
    <row r="5" spans="1:13">
      <c r="A5" s="86" t="str">
        <f>UPPER(ASC(TRIM(Application!E17)))&amp;" "&amp;UPPER(ASC(TRIM(Application!Q17)))</f>
        <v xml:space="preserve"> </v>
      </c>
      <c r="B5" s="86" t="str">
        <f>TRIM(Application!E15)&amp;" "&amp;TRIM(Application!Q15)</f>
        <v xml:space="preserve"> </v>
      </c>
      <c r="C5" s="86" t="str">
        <f>Resume!BB10</f>
        <v xml:space="preserve"> </v>
      </c>
      <c r="D5" s="87" t="e">
        <f>DATE(Application!N19,Application!R19,Application!U19)</f>
        <v>#VALUE!</v>
      </c>
      <c r="E5" s="86" t="str">
        <f>Application!E19</f>
        <v>中国</v>
      </c>
      <c r="F5" s="86" t="str">
        <f>Application!E21</f>
        <v xml:space="preserve"> </v>
      </c>
      <c r="G5" s="86" t="str">
        <f>TRIM(Application!Q12)</f>
        <v/>
      </c>
      <c r="H5" s="88"/>
      <c r="I5" s="86" t="str">
        <f>Resume!BB40</f>
        <v xml:space="preserve"> </v>
      </c>
      <c r="J5" s="89" t="str">
        <f>Resume!BE56</f>
        <v/>
      </c>
      <c r="K5" s="86" t="str">
        <f>Resume!BD56</f>
        <v/>
      </c>
      <c r="L5" s="86" t="str">
        <f>Resume!AS48</f>
        <v>0年0月</v>
      </c>
      <c r="M5" s="90"/>
    </row>
    <row r="6" spans="1:13" ht="5.25" customHeight="1"/>
    <row r="7" spans="1:13">
      <c r="A7" s="91"/>
      <c r="B7" s="91"/>
      <c r="C7" s="91"/>
      <c r="D7" s="91"/>
      <c r="E7" s="91"/>
      <c r="F7" s="91"/>
      <c r="G7" s="91"/>
      <c r="H7" s="91"/>
      <c r="I7" s="91"/>
      <c r="J7" s="91"/>
      <c r="K7" s="91"/>
      <c r="L7" s="91"/>
      <c r="M7" s="91"/>
    </row>
  </sheetData>
  <sheetProtection algorithmName="SHA-512" hashValue="Jl0nfBSMUjMxHN39amM2km2PhDiiZJynJgl1ALzE9na0q34ipW/b5p0l8iWzcpW6H7cdhd74+l5TVgIfHRNspQ==" saltValue="NJk4lNWjU90TxjZTprZeEg==" spinCount="100000" sheet="1" objects="1" scenarios="1"/>
  <mergeCells count="1">
    <mergeCell ref="A2:L2"/>
  </mergeCells>
  <phoneticPr fontId="3"/>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B620B-581D-41D5-87E3-CF2ABFFD1BF2}">
  <dimension ref="A1"/>
  <sheetViews>
    <sheetView workbookViewId="0">
      <selection activeCell="H37" sqref="H37"/>
    </sheetView>
  </sheetViews>
  <sheetFormatPr defaultRowHeight="13.5"/>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7FD2E-F45A-4551-A806-171C2D3FBB75}">
  <sheetPr codeName="Sheet6"/>
  <dimension ref="A1:F225"/>
  <sheetViews>
    <sheetView workbookViewId="0">
      <selection activeCell="F9" sqref="F9"/>
    </sheetView>
  </sheetViews>
  <sheetFormatPr defaultColWidth="4.75" defaultRowHeight="13.5"/>
  <cols>
    <col min="1" max="1" width="15.375" bestFit="1" customWidth="1"/>
    <col min="2" max="2" width="5.5" bestFit="1" customWidth="1"/>
    <col min="3" max="4" width="52.75" bestFit="1" customWidth="1"/>
    <col min="5" max="5" width="51.625" bestFit="1" customWidth="1"/>
    <col min="6" max="6" width="53.5" customWidth="1"/>
  </cols>
  <sheetData>
    <row r="1" spans="1:6">
      <c r="A1" s="92" t="s">
        <v>68</v>
      </c>
      <c r="B1" s="92" t="s">
        <v>69</v>
      </c>
      <c r="C1" s="93" t="s">
        <v>70</v>
      </c>
      <c r="D1" s="93" t="s">
        <v>71</v>
      </c>
      <c r="E1" s="93" t="s">
        <v>72</v>
      </c>
      <c r="F1" s="94"/>
    </row>
    <row r="2" spans="1:6">
      <c r="A2" s="95" t="s">
        <v>73</v>
      </c>
      <c r="B2" s="96">
        <v>1</v>
      </c>
      <c r="C2" s="97" t="s">
        <v>74</v>
      </c>
      <c r="D2" s="97" t="s">
        <v>75</v>
      </c>
      <c r="E2" s="97" t="s">
        <v>76</v>
      </c>
      <c r="F2" s="98"/>
    </row>
    <row r="3" spans="1:6">
      <c r="A3" s="95" t="s">
        <v>73</v>
      </c>
      <c r="B3" s="96">
        <v>2</v>
      </c>
      <c r="C3" s="111" t="s">
        <v>560</v>
      </c>
      <c r="D3" s="111" t="s">
        <v>565</v>
      </c>
      <c r="E3" s="111" t="s">
        <v>560</v>
      </c>
      <c r="F3" s="98"/>
    </row>
    <row r="4" spans="1:6">
      <c r="A4" s="95" t="s">
        <v>73</v>
      </c>
      <c r="B4" s="96">
        <v>3</v>
      </c>
      <c r="C4" s="111" t="s">
        <v>560</v>
      </c>
      <c r="D4" s="111" t="s">
        <v>565</v>
      </c>
      <c r="E4" s="111" t="s">
        <v>560</v>
      </c>
      <c r="F4" s="98"/>
    </row>
    <row r="5" spans="1:6">
      <c r="A5" s="95" t="s">
        <v>73</v>
      </c>
      <c r="B5" s="96">
        <v>4</v>
      </c>
      <c r="C5" s="111" t="s">
        <v>560</v>
      </c>
      <c r="D5" s="111" t="s">
        <v>565</v>
      </c>
      <c r="E5" s="111" t="s">
        <v>560</v>
      </c>
      <c r="F5" s="98"/>
    </row>
    <row r="6" spans="1:6">
      <c r="A6" s="95" t="s">
        <v>73</v>
      </c>
      <c r="B6" s="96">
        <v>5</v>
      </c>
      <c r="C6" s="111" t="s">
        <v>560</v>
      </c>
      <c r="D6" s="111" t="s">
        <v>565</v>
      </c>
      <c r="E6" s="111" t="s">
        <v>560</v>
      </c>
      <c r="F6" s="98"/>
    </row>
    <row r="7" spans="1:6">
      <c r="A7" s="95" t="s">
        <v>73</v>
      </c>
      <c r="B7" s="96">
        <v>6</v>
      </c>
      <c r="C7" s="111" t="s">
        <v>560</v>
      </c>
      <c r="D7" s="111" t="s">
        <v>565</v>
      </c>
      <c r="E7" s="111" t="s">
        <v>560</v>
      </c>
      <c r="F7" s="98"/>
    </row>
    <row r="8" spans="1:6">
      <c r="A8" s="95" t="s">
        <v>73</v>
      </c>
      <c r="B8" s="96">
        <v>7</v>
      </c>
      <c r="C8" s="111" t="s">
        <v>560</v>
      </c>
      <c r="D8" s="111" t="s">
        <v>565</v>
      </c>
      <c r="E8" s="111" t="s">
        <v>560</v>
      </c>
      <c r="F8" s="98"/>
    </row>
    <row r="9" spans="1:6">
      <c r="A9" s="95" t="s">
        <v>73</v>
      </c>
      <c r="B9" s="96">
        <v>100</v>
      </c>
      <c r="C9" s="97" t="s">
        <v>77</v>
      </c>
      <c r="D9" s="97" t="s">
        <v>78</v>
      </c>
      <c r="E9" s="97" t="s">
        <v>79</v>
      </c>
      <c r="F9" s="98"/>
    </row>
    <row r="10" spans="1:6">
      <c r="A10" s="95" t="s">
        <v>73</v>
      </c>
      <c r="B10" s="96">
        <v>1000</v>
      </c>
      <c r="C10" s="97" t="s">
        <v>80</v>
      </c>
      <c r="D10" s="97" t="s">
        <v>81</v>
      </c>
      <c r="E10" s="97" t="s">
        <v>80</v>
      </c>
      <c r="F10" s="98"/>
    </row>
    <row r="11" spans="1:6">
      <c r="A11" s="95" t="s">
        <v>73</v>
      </c>
      <c r="B11" s="96">
        <v>1010</v>
      </c>
      <c r="C11" s="97" t="s">
        <v>60</v>
      </c>
      <c r="D11" s="97" t="s">
        <v>82</v>
      </c>
      <c r="E11" s="97" t="s">
        <v>60</v>
      </c>
      <c r="F11" s="98"/>
    </row>
    <row r="12" spans="1:6">
      <c r="A12" s="95" t="s">
        <v>73</v>
      </c>
      <c r="B12" s="96">
        <v>1020</v>
      </c>
      <c r="C12" s="97" t="s">
        <v>83</v>
      </c>
      <c r="D12" s="97" t="s">
        <v>84</v>
      </c>
      <c r="E12" s="97" t="s">
        <v>85</v>
      </c>
      <c r="F12" s="98"/>
    </row>
    <row r="13" spans="1:6">
      <c r="A13" s="95" t="s">
        <v>73</v>
      </c>
      <c r="B13" s="96">
        <v>1030</v>
      </c>
      <c r="C13" s="97" t="s">
        <v>86</v>
      </c>
      <c r="D13" s="97" t="s">
        <v>87</v>
      </c>
      <c r="E13" s="97" t="s">
        <v>86</v>
      </c>
      <c r="F13" s="98"/>
    </row>
    <row r="14" spans="1:6">
      <c r="A14" s="95" t="s">
        <v>73</v>
      </c>
      <c r="B14" s="96">
        <v>1040</v>
      </c>
      <c r="C14" s="97" t="s">
        <v>88</v>
      </c>
      <c r="D14" s="97" t="s">
        <v>89</v>
      </c>
      <c r="E14" s="97" t="s">
        <v>88</v>
      </c>
      <c r="F14" s="98"/>
    </row>
    <row r="15" spans="1:6">
      <c r="A15" s="95" t="s">
        <v>73</v>
      </c>
      <c r="B15" s="96">
        <v>1050</v>
      </c>
      <c r="C15" s="97" t="s">
        <v>59</v>
      </c>
      <c r="D15" s="97" t="s">
        <v>90</v>
      </c>
      <c r="E15" s="97" t="s">
        <v>91</v>
      </c>
      <c r="F15" s="98"/>
    </row>
    <row r="16" spans="1:6">
      <c r="A16" s="95" t="s">
        <v>73</v>
      </c>
      <c r="B16" s="96">
        <v>1060</v>
      </c>
      <c r="C16" s="97" t="s">
        <v>92</v>
      </c>
      <c r="D16" s="97" t="s">
        <v>93</v>
      </c>
      <c r="E16" s="97" t="s">
        <v>92</v>
      </c>
      <c r="F16" s="98"/>
    </row>
    <row r="17" spans="1:6">
      <c r="A17" s="95" t="s">
        <v>73</v>
      </c>
      <c r="B17" s="96">
        <v>1070</v>
      </c>
      <c r="C17" s="97" t="s">
        <v>94</v>
      </c>
      <c r="D17" s="97" t="s">
        <v>95</v>
      </c>
      <c r="E17" s="97" t="s">
        <v>94</v>
      </c>
      <c r="F17" s="98"/>
    </row>
    <row r="18" spans="1:6">
      <c r="A18" s="95" t="s">
        <v>73</v>
      </c>
      <c r="B18" s="96">
        <v>1080</v>
      </c>
      <c r="C18" s="97" t="s">
        <v>96</v>
      </c>
      <c r="D18" s="97" t="s">
        <v>97</v>
      </c>
      <c r="E18" s="97" t="s">
        <v>96</v>
      </c>
      <c r="F18" s="98"/>
    </row>
    <row r="19" spans="1:6">
      <c r="A19" s="95" t="s">
        <v>73</v>
      </c>
      <c r="B19" s="96">
        <v>1090</v>
      </c>
      <c r="C19" s="97" t="s">
        <v>58</v>
      </c>
      <c r="D19" s="97" t="s">
        <v>98</v>
      </c>
      <c r="E19" s="97" t="s">
        <v>58</v>
      </c>
      <c r="F19" s="98"/>
    </row>
    <row r="20" spans="1:6">
      <c r="A20" s="95" t="s">
        <v>73</v>
      </c>
      <c r="B20" s="96">
        <v>1100</v>
      </c>
      <c r="C20" s="97" t="s">
        <v>99</v>
      </c>
      <c r="D20" s="97" t="s">
        <v>100</v>
      </c>
      <c r="E20" s="97" t="s">
        <v>99</v>
      </c>
      <c r="F20" s="98"/>
    </row>
    <row r="21" spans="1:6">
      <c r="A21" s="95" t="s">
        <v>73</v>
      </c>
      <c r="B21" s="96">
        <v>1110</v>
      </c>
      <c r="C21" s="97" t="s">
        <v>101</v>
      </c>
      <c r="D21" s="97" t="s">
        <v>102</v>
      </c>
      <c r="E21" s="97" t="s">
        <v>101</v>
      </c>
      <c r="F21" s="98"/>
    </row>
    <row r="22" spans="1:6">
      <c r="A22" s="95" t="s">
        <v>73</v>
      </c>
      <c r="B22" s="96">
        <v>1120</v>
      </c>
      <c r="C22" s="97" t="s">
        <v>103</v>
      </c>
      <c r="D22" s="97" t="s">
        <v>104</v>
      </c>
      <c r="E22" s="97" t="s">
        <v>105</v>
      </c>
      <c r="F22" s="98"/>
    </row>
    <row r="23" spans="1:6">
      <c r="A23" s="95" t="s">
        <v>73</v>
      </c>
      <c r="B23" s="96">
        <v>1130</v>
      </c>
      <c r="C23" s="97" t="s">
        <v>106</v>
      </c>
      <c r="D23" s="97" t="s">
        <v>107</v>
      </c>
      <c r="E23" s="97" t="s">
        <v>108</v>
      </c>
      <c r="F23" s="98"/>
    </row>
    <row r="24" spans="1:6">
      <c r="A24" s="95" t="s">
        <v>73</v>
      </c>
      <c r="B24" s="96">
        <v>1140</v>
      </c>
      <c r="C24" s="97" t="s">
        <v>109</v>
      </c>
      <c r="D24" s="97" t="s">
        <v>110</v>
      </c>
      <c r="E24" s="97" t="s">
        <v>109</v>
      </c>
      <c r="F24" s="98"/>
    </row>
    <row r="25" spans="1:6">
      <c r="A25" s="95" t="s">
        <v>73</v>
      </c>
      <c r="B25" s="96">
        <v>1150</v>
      </c>
      <c r="C25" s="97" t="s">
        <v>111</v>
      </c>
      <c r="D25" s="97" t="s">
        <v>112</v>
      </c>
      <c r="E25" s="97" t="s">
        <v>113</v>
      </c>
      <c r="F25" s="98"/>
    </row>
    <row r="26" spans="1:6">
      <c r="A26" s="95" t="s">
        <v>73</v>
      </c>
      <c r="B26" s="96">
        <v>1160</v>
      </c>
      <c r="C26" s="97" t="s">
        <v>114</v>
      </c>
      <c r="D26" s="97" t="s">
        <v>115</v>
      </c>
      <c r="E26" s="97" t="s">
        <v>114</v>
      </c>
      <c r="F26" s="98"/>
    </row>
    <row r="27" spans="1:6">
      <c r="A27" s="95" t="s">
        <v>73</v>
      </c>
      <c r="B27" s="96">
        <v>1170</v>
      </c>
      <c r="C27" s="97" t="s">
        <v>116</v>
      </c>
      <c r="D27" s="97" t="s">
        <v>117</v>
      </c>
      <c r="E27" s="97" t="s">
        <v>116</v>
      </c>
      <c r="F27" s="98"/>
    </row>
    <row r="28" spans="1:6">
      <c r="A28" s="95" t="s">
        <v>73</v>
      </c>
      <c r="B28" s="96">
        <v>1180</v>
      </c>
      <c r="C28" s="97" t="s">
        <v>118</v>
      </c>
      <c r="D28" s="97" t="s">
        <v>119</v>
      </c>
      <c r="E28" s="97" t="s">
        <v>118</v>
      </c>
      <c r="F28" s="98"/>
    </row>
    <row r="29" spans="1:6">
      <c r="A29" s="95" t="s">
        <v>73</v>
      </c>
      <c r="B29" s="96">
        <v>1190</v>
      </c>
      <c r="C29" s="97" t="s">
        <v>120</v>
      </c>
      <c r="D29" s="97" t="s">
        <v>121</v>
      </c>
      <c r="E29" s="97" t="s">
        <v>122</v>
      </c>
      <c r="F29" s="98"/>
    </row>
    <row r="30" spans="1:6">
      <c r="A30" s="95" t="s">
        <v>73</v>
      </c>
      <c r="B30" s="96">
        <v>1200</v>
      </c>
      <c r="C30" s="97" t="s">
        <v>123</v>
      </c>
      <c r="D30" s="97" t="s">
        <v>124</v>
      </c>
      <c r="E30" s="97" t="s">
        <v>125</v>
      </c>
      <c r="F30" s="98"/>
    </row>
    <row r="31" spans="1:6">
      <c r="A31" s="95" t="s">
        <v>73</v>
      </c>
      <c r="B31" s="96">
        <v>1210</v>
      </c>
      <c r="C31" s="97" t="s">
        <v>126</v>
      </c>
      <c r="D31" s="97" t="s">
        <v>127</v>
      </c>
      <c r="E31" s="97" t="s">
        <v>126</v>
      </c>
      <c r="F31" s="98"/>
    </row>
    <row r="32" spans="1:6">
      <c r="A32" s="95" t="s">
        <v>73</v>
      </c>
      <c r="B32" s="96">
        <v>1211</v>
      </c>
      <c r="C32" s="97" t="s">
        <v>128</v>
      </c>
      <c r="D32" s="99" t="s">
        <v>128</v>
      </c>
      <c r="E32" s="97" t="s">
        <v>129</v>
      </c>
      <c r="F32" s="98"/>
    </row>
    <row r="33" spans="1:6">
      <c r="A33" s="95" t="s">
        <v>73</v>
      </c>
      <c r="B33" s="96">
        <v>1215</v>
      </c>
      <c r="C33" s="97" t="s">
        <v>130</v>
      </c>
      <c r="D33" s="97" t="s">
        <v>131</v>
      </c>
      <c r="E33" s="97" t="s">
        <v>132</v>
      </c>
      <c r="F33" s="98"/>
    </row>
    <row r="34" spans="1:6">
      <c r="A34" s="95" t="s">
        <v>73</v>
      </c>
      <c r="B34" s="96">
        <v>1216</v>
      </c>
      <c r="C34" s="97" t="s">
        <v>133</v>
      </c>
      <c r="D34" s="97" t="s">
        <v>134</v>
      </c>
      <c r="E34" s="97" t="s">
        <v>135</v>
      </c>
      <c r="F34" s="98"/>
    </row>
    <row r="35" spans="1:6">
      <c r="A35" s="95" t="s">
        <v>73</v>
      </c>
      <c r="B35" s="96">
        <v>1217</v>
      </c>
      <c r="C35" s="97" t="s">
        <v>136</v>
      </c>
      <c r="D35" s="97" t="s">
        <v>137</v>
      </c>
      <c r="E35" s="97" t="s">
        <v>138</v>
      </c>
      <c r="F35" s="98" t="s">
        <v>139</v>
      </c>
    </row>
    <row r="36" spans="1:6">
      <c r="A36" s="95" t="s">
        <v>73</v>
      </c>
      <c r="B36" s="96">
        <v>1218</v>
      </c>
      <c r="C36" s="97" t="s">
        <v>140</v>
      </c>
      <c r="D36" s="97" t="s">
        <v>141</v>
      </c>
      <c r="E36" s="97" t="s">
        <v>142</v>
      </c>
      <c r="F36" s="98"/>
    </row>
    <row r="37" spans="1:6">
      <c r="A37" s="95" t="s">
        <v>73</v>
      </c>
      <c r="B37" s="96">
        <v>1220</v>
      </c>
      <c r="C37" s="97" t="s">
        <v>83</v>
      </c>
      <c r="D37" s="97" t="s">
        <v>84</v>
      </c>
      <c r="E37" s="97" t="s">
        <v>85</v>
      </c>
      <c r="F37" s="98"/>
    </row>
    <row r="38" spans="1:6">
      <c r="A38" s="95" t="s">
        <v>73</v>
      </c>
      <c r="B38" s="96">
        <v>1230</v>
      </c>
      <c r="C38" s="100" t="s">
        <v>143</v>
      </c>
      <c r="D38" s="97" t="s">
        <v>144</v>
      </c>
      <c r="E38" s="97" t="s">
        <v>145</v>
      </c>
      <c r="F38" s="98"/>
    </row>
    <row r="39" spans="1:6">
      <c r="A39" s="95" t="s">
        <v>73</v>
      </c>
      <c r="B39" s="96">
        <v>1240</v>
      </c>
      <c r="C39" s="100" t="s">
        <v>146</v>
      </c>
      <c r="D39" s="97" t="s">
        <v>104</v>
      </c>
      <c r="E39" s="97" t="s">
        <v>147</v>
      </c>
      <c r="F39" s="98"/>
    </row>
    <row r="40" spans="1:6">
      <c r="A40" s="95" t="s">
        <v>73</v>
      </c>
      <c r="B40" s="96">
        <v>1250</v>
      </c>
      <c r="C40" s="97" t="s">
        <v>148</v>
      </c>
      <c r="D40" s="97" t="s">
        <v>149</v>
      </c>
      <c r="E40" s="97" t="s">
        <v>150</v>
      </c>
      <c r="F40" s="98"/>
    </row>
    <row r="41" spans="1:6">
      <c r="A41" s="95" t="s">
        <v>73</v>
      </c>
      <c r="B41" s="96">
        <v>1255</v>
      </c>
      <c r="C41" s="97" t="s">
        <v>151</v>
      </c>
      <c r="D41" s="97" t="s">
        <v>152</v>
      </c>
      <c r="E41" s="97" t="s">
        <v>151</v>
      </c>
      <c r="F41" s="98"/>
    </row>
    <row r="42" spans="1:6" ht="18.75">
      <c r="A42" s="95" t="s">
        <v>73</v>
      </c>
      <c r="B42" s="96">
        <v>1256</v>
      </c>
      <c r="C42" s="97" t="s">
        <v>153</v>
      </c>
      <c r="D42" s="101" t="s">
        <v>154</v>
      </c>
      <c r="E42" s="97" t="s">
        <v>153</v>
      </c>
      <c r="F42" s="98"/>
    </row>
    <row r="43" spans="1:6">
      <c r="A43" s="95" t="s">
        <v>73</v>
      </c>
      <c r="B43" s="96">
        <v>1257</v>
      </c>
      <c r="C43" s="102" t="s">
        <v>155</v>
      </c>
      <c r="D43" s="102" t="s">
        <v>156</v>
      </c>
      <c r="E43" s="102" t="s">
        <v>155</v>
      </c>
      <c r="F43" s="98"/>
    </row>
    <row r="44" spans="1:6" ht="27">
      <c r="A44" s="95" t="s">
        <v>73</v>
      </c>
      <c r="B44" s="96">
        <v>1260</v>
      </c>
      <c r="C44" s="97" t="s">
        <v>157</v>
      </c>
      <c r="D44" s="97" t="s">
        <v>158</v>
      </c>
      <c r="E44" s="97" t="s">
        <v>159</v>
      </c>
      <c r="F44" s="98"/>
    </row>
    <row r="45" spans="1:6">
      <c r="A45" s="95" t="s">
        <v>73</v>
      </c>
      <c r="B45" s="96">
        <v>1270</v>
      </c>
      <c r="C45" s="97" t="s">
        <v>66</v>
      </c>
      <c r="D45" s="97" t="s">
        <v>160</v>
      </c>
      <c r="E45" s="97" t="s">
        <v>161</v>
      </c>
      <c r="F45" s="98"/>
    </row>
    <row r="46" spans="1:6">
      <c r="A46" s="95" t="s">
        <v>73</v>
      </c>
      <c r="B46" s="96">
        <v>1280</v>
      </c>
      <c r="C46" s="97" t="s">
        <v>162</v>
      </c>
      <c r="D46" s="97" t="s">
        <v>163</v>
      </c>
      <c r="E46" s="97" t="s">
        <v>147</v>
      </c>
      <c r="F46" s="98"/>
    </row>
    <row r="47" spans="1:6">
      <c r="A47" s="95" t="s">
        <v>73</v>
      </c>
      <c r="B47" s="96">
        <v>1290</v>
      </c>
      <c r="C47" s="97" t="s">
        <v>164</v>
      </c>
      <c r="D47" s="97" t="s">
        <v>165</v>
      </c>
      <c r="E47" s="97" t="s">
        <v>166</v>
      </c>
      <c r="F47" s="98"/>
    </row>
    <row r="48" spans="1:6">
      <c r="A48" s="95" t="s">
        <v>73</v>
      </c>
      <c r="B48" s="96">
        <v>1300</v>
      </c>
      <c r="C48" s="97" t="s">
        <v>167</v>
      </c>
      <c r="D48" s="97" t="s">
        <v>168</v>
      </c>
      <c r="E48" s="97" t="s">
        <v>167</v>
      </c>
      <c r="F48" s="98"/>
    </row>
    <row r="49" spans="1:6">
      <c r="A49" s="95" t="s">
        <v>73</v>
      </c>
      <c r="B49" s="96">
        <v>1310</v>
      </c>
      <c r="C49" s="97" t="s">
        <v>65</v>
      </c>
      <c r="D49" s="97" t="s">
        <v>169</v>
      </c>
      <c r="E49" s="97" t="s">
        <v>170</v>
      </c>
      <c r="F49" s="98"/>
    </row>
    <row r="50" spans="1:6">
      <c r="A50" s="95" t="s">
        <v>73</v>
      </c>
      <c r="B50" s="96">
        <v>1311</v>
      </c>
      <c r="C50" s="97" t="s">
        <v>171</v>
      </c>
      <c r="D50" s="97" t="s">
        <v>172</v>
      </c>
      <c r="E50" s="103" t="s">
        <v>171</v>
      </c>
      <c r="F50" s="98"/>
    </row>
    <row r="51" spans="1:6">
      <c r="A51" s="95" t="s">
        <v>73</v>
      </c>
      <c r="B51" s="96">
        <v>1312</v>
      </c>
      <c r="C51" s="97" t="s">
        <v>173</v>
      </c>
      <c r="D51" s="97" t="s">
        <v>174</v>
      </c>
      <c r="E51" s="97" t="s">
        <v>175</v>
      </c>
      <c r="F51" s="98"/>
    </row>
    <row r="52" spans="1:6">
      <c r="A52" s="95" t="s">
        <v>73</v>
      </c>
      <c r="B52" s="96">
        <v>1313</v>
      </c>
      <c r="C52" s="97" t="s">
        <v>176</v>
      </c>
      <c r="D52" s="97" t="s">
        <v>177</v>
      </c>
      <c r="E52" s="97" t="s">
        <v>178</v>
      </c>
      <c r="F52" s="98"/>
    </row>
    <row r="53" spans="1:6">
      <c r="A53" s="95" t="s">
        <v>73</v>
      </c>
      <c r="B53" s="96">
        <v>1314</v>
      </c>
      <c r="C53" s="97" t="s">
        <v>179</v>
      </c>
      <c r="D53" s="97" t="s">
        <v>180</v>
      </c>
      <c r="E53" s="97" t="s">
        <v>181</v>
      </c>
      <c r="F53" s="98"/>
    </row>
    <row r="54" spans="1:6">
      <c r="A54" s="95" t="s">
        <v>73</v>
      </c>
      <c r="B54" s="96">
        <v>1315</v>
      </c>
      <c r="C54" s="97" t="s">
        <v>182</v>
      </c>
      <c r="D54" s="97" t="s">
        <v>183</v>
      </c>
      <c r="E54" s="97" t="s">
        <v>184</v>
      </c>
      <c r="F54" s="98"/>
    </row>
    <row r="55" spans="1:6">
      <c r="A55" s="95" t="s">
        <v>73</v>
      </c>
      <c r="B55" s="96">
        <v>1316</v>
      </c>
      <c r="C55" s="97" t="s">
        <v>185</v>
      </c>
      <c r="D55" s="97" t="s">
        <v>186</v>
      </c>
      <c r="E55" s="97" t="s">
        <v>185</v>
      </c>
      <c r="F55" s="98"/>
    </row>
    <row r="56" spans="1:6">
      <c r="A56" s="95" t="s">
        <v>73</v>
      </c>
      <c r="B56" s="96">
        <v>1317</v>
      </c>
      <c r="C56" s="97" t="s">
        <v>187</v>
      </c>
      <c r="D56" s="97" t="s">
        <v>188</v>
      </c>
      <c r="E56" s="97" t="s">
        <v>189</v>
      </c>
      <c r="F56" s="98"/>
    </row>
    <row r="57" spans="1:6">
      <c r="A57" s="95" t="s">
        <v>73</v>
      </c>
      <c r="B57" s="96">
        <v>1318</v>
      </c>
      <c r="C57" s="97" t="s">
        <v>190</v>
      </c>
      <c r="D57" s="97" t="s">
        <v>191</v>
      </c>
      <c r="E57" s="97" t="s">
        <v>190</v>
      </c>
      <c r="F57" s="98"/>
    </row>
    <row r="58" spans="1:6">
      <c r="A58" s="95" t="s">
        <v>73</v>
      </c>
      <c r="B58" s="96">
        <v>1320</v>
      </c>
      <c r="C58" s="97" t="s">
        <v>192</v>
      </c>
      <c r="D58" s="97" t="s">
        <v>193</v>
      </c>
      <c r="E58" s="97" t="s">
        <v>194</v>
      </c>
      <c r="F58" s="98"/>
    </row>
    <row r="59" spans="1:6">
      <c r="A59" s="95" t="s">
        <v>73</v>
      </c>
      <c r="B59" s="96">
        <v>1321</v>
      </c>
      <c r="C59" s="97" t="s">
        <v>195</v>
      </c>
      <c r="D59" s="97" t="s">
        <v>196</v>
      </c>
      <c r="E59" s="97" t="s">
        <v>197</v>
      </c>
      <c r="F59" s="98"/>
    </row>
    <row r="60" spans="1:6">
      <c r="A60" s="95" t="s">
        <v>73</v>
      </c>
      <c r="B60" s="96">
        <v>1322</v>
      </c>
      <c r="C60" s="97" t="s">
        <v>198</v>
      </c>
      <c r="D60" s="97" t="s">
        <v>199</v>
      </c>
      <c r="E60" s="97" t="s">
        <v>200</v>
      </c>
      <c r="F60" s="98"/>
    </row>
    <row r="61" spans="1:6" ht="27">
      <c r="A61" s="95" t="s">
        <v>73</v>
      </c>
      <c r="B61" s="96">
        <v>1330</v>
      </c>
      <c r="C61" s="97" t="s">
        <v>201</v>
      </c>
      <c r="D61" s="97" t="s">
        <v>202</v>
      </c>
      <c r="E61" s="97" t="s">
        <v>203</v>
      </c>
      <c r="F61" s="98"/>
    </row>
    <row r="62" spans="1:6">
      <c r="A62" s="95" t="s">
        <v>73</v>
      </c>
      <c r="B62" s="96">
        <v>1340</v>
      </c>
      <c r="C62" s="97" t="s">
        <v>204</v>
      </c>
      <c r="D62" s="97" t="s">
        <v>205</v>
      </c>
      <c r="E62" s="97" t="s">
        <v>206</v>
      </c>
      <c r="F62" s="98"/>
    </row>
    <row r="63" spans="1:6">
      <c r="A63" s="95" t="s">
        <v>73</v>
      </c>
      <c r="B63" s="96">
        <v>1350</v>
      </c>
      <c r="C63" s="97" t="s">
        <v>207</v>
      </c>
      <c r="D63" s="97" t="s">
        <v>208</v>
      </c>
      <c r="E63" s="97" t="s">
        <v>209</v>
      </c>
      <c r="F63" s="98"/>
    </row>
    <row r="64" spans="1:6">
      <c r="A64" s="95" t="s">
        <v>73</v>
      </c>
      <c r="B64" s="96">
        <v>1360</v>
      </c>
      <c r="C64" s="97" t="s">
        <v>210</v>
      </c>
      <c r="D64" s="97" t="s">
        <v>211</v>
      </c>
      <c r="E64" s="97" t="s">
        <v>212</v>
      </c>
      <c r="F64" s="98"/>
    </row>
    <row r="65" spans="1:6">
      <c r="A65" s="95" t="s">
        <v>73</v>
      </c>
      <c r="B65" s="96">
        <v>1370</v>
      </c>
      <c r="C65" s="97" t="s">
        <v>213</v>
      </c>
      <c r="D65" s="97" t="s">
        <v>214</v>
      </c>
      <c r="E65" s="97" t="s">
        <v>215</v>
      </c>
      <c r="F65" s="98"/>
    </row>
    <row r="66" spans="1:6">
      <c r="A66" s="95" t="s">
        <v>73</v>
      </c>
      <c r="B66" s="96">
        <v>1380</v>
      </c>
      <c r="C66" s="97" t="s">
        <v>216</v>
      </c>
      <c r="D66" s="97" t="s">
        <v>217</v>
      </c>
      <c r="E66" s="97" t="s">
        <v>216</v>
      </c>
      <c r="F66" s="98"/>
    </row>
    <row r="67" spans="1:6">
      <c r="A67" s="95" t="s">
        <v>73</v>
      </c>
      <c r="B67" s="96">
        <v>1390</v>
      </c>
      <c r="C67" s="97" t="s">
        <v>218</v>
      </c>
      <c r="D67" s="97" t="s">
        <v>219</v>
      </c>
      <c r="E67" s="97" t="s">
        <v>218</v>
      </c>
      <c r="F67" s="98"/>
    </row>
    <row r="68" spans="1:6">
      <c r="A68" s="95" t="s">
        <v>73</v>
      </c>
      <c r="B68" s="96">
        <v>1400</v>
      </c>
      <c r="C68" s="97" t="s">
        <v>220</v>
      </c>
      <c r="D68" s="97" t="s">
        <v>221</v>
      </c>
      <c r="E68" s="97" t="s">
        <v>222</v>
      </c>
      <c r="F68" s="98"/>
    </row>
    <row r="69" spans="1:6">
      <c r="A69" s="95" t="s">
        <v>73</v>
      </c>
      <c r="B69" s="96">
        <v>1410</v>
      </c>
      <c r="C69" s="97" t="s">
        <v>223</v>
      </c>
      <c r="D69" s="97" t="s">
        <v>224</v>
      </c>
      <c r="E69" s="97" t="s">
        <v>225</v>
      </c>
      <c r="F69" s="98"/>
    </row>
    <row r="70" spans="1:6">
      <c r="A70" s="95" t="s">
        <v>73</v>
      </c>
      <c r="B70" s="96">
        <v>1420</v>
      </c>
      <c r="C70" s="97" t="s">
        <v>226</v>
      </c>
      <c r="D70" s="97" t="s">
        <v>227</v>
      </c>
      <c r="E70" s="97" t="s">
        <v>228</v>
      </c>
      <c r="F70" s="98"/>
    </row>
    <row r="71" spans="1:6">
      <c r="A71" s="95" t="s">
        <v>73</v>
      </c>
      <c r="B71" s="96">
        <v>1430</v>
      </c>
      <c r="C71" s="97" t="s">
        <v>229</v>
      </c>
      <c r="D71" s="97" t="s">
        <v>230</v>
      </c>
      <c r="E71" s="97" t="s">
        <v>231</v>
      </c>
      <c r="F71" s="98"/>
    </row>
    <row r="72" spans="1:6">
      <c r="A72" s="95" t="s">
        <v>73</v>
      </c>
      <c r="B72" s="96">
        <v>1440</v>
      </c>
      <c r="C72" s="97" t="s">
        <v>232</v>
      </c>
      <c r="D72" s="97" t="s">
        <v>233</v>
      </c>
      <c r="E72" s="97" t="s">
        <v>232</v>
      </c>
      <c r="F72" s="98"/>
    </row>
    <row r="73" spans="1:6">
      <c r="A73" s="95" t="s">
        <v>73</v>
      </c>
      <c r="B73" s="96">
        <v>1450</v>
      </c>
      <c r="C73" s="97" t="s">
        <v>234</v>
      </c>
      <c r="D73" s="97" t="s">
        <v>235</v>
      </c>
      <c r="E73" s="97" t="s">
        <v>234</v>
      </c>
      <c r="F73" s="98"/>
    </row>
    <row r="74" spans="1:6">
      <c r="A74" s="95" t="s">
        <v>73</v>
      </c>
      <c r="B74" s="96">
        <v>1460</v>
      </c>
      <c r="C74" s="97" t="s">
        <v>236</v>
      </c>
      <c r="D74" s="97" t="s">
        <v>237</v>
      </c>
      <c r="E74" s="97" t="s">
        <v>236</v>
      </c>
      <c r="F74" s="98"/>
    </row>
    <row r="75" spans="1:6">
      <c r="A75" s="95" t="s">
        <v>73</v>
      </c>
      <c r="B75" s="96">
        <v>1470</v>
      </c>
      <c r="C75" s="97" t="s">
        <v>238</v>
      </c>
      <c r="D75" s="97" t="s">
        <v>239</v>
      </c>
      <c r="E75" s="97" t="s">
        <v>238</v>
      </c>
      <c r="F75" s="98"/>
    </row>
    <row r="76" spans="1:6">
      <c r="A76" s="95" t="s">
        <v>73</v>
      </c>
      <c r="B76" s="96">
        <v>1480</v>
      </c>
      <c r="C76" s="97" t="s">
        <v>179</v>
      </c>
      <c r="D76" s="97" t="s">
        <v>240</v>
      </c>
      <c r="E76" s="97" t="s">
        <v>179</v>
      </c>
      <c r="F76" s="98"/>
    </row>
    <row r="77" spans="1:6">
      <c r="A77" s="95" t="s">
        <v>73</v>
      </c>
      <c r="B77" s="96">
        <v>1490</v>
      </c>
      <c r="C77" s="97" t="s">
        <v>241</v>
      </c>
      <c r="D77" s="97" t="s">
        <v>242</v>
      </c>
      <c r="E77" s="97" t="s">
        <v>243</v>
      </c>
      <c r="F77" s="98"/>
    </row>
    <row r="78" spans="1:6">
      <c r="A78" s="95" t="s">
        <v>73</v>
      </c>
      <c r="B78" s="96">
        <v>1500</v>
      </c>
      <c r="C78" s="97" t="s">
        <v>244</v>
      </c>
      <c r="D78" s="97" t="s">
        <v>245</v>
      </c>
      <c r="E78" s="97" t="s">
        <v>246</v>
      </c>
      <c r="F78" s="98"/>
    </row>
    <row r="79" spans="1:6">
      <c r="A79" s="95" t="s">
        <v>73</v>
      </c>
      <c r="B79" s="96">
        <v>1510</v>
      </c>
      <c r="C79" s="97" t="s">
        <v>247</v>
      </c>
      <c r="D79" s="97" t="s">
        <v>248</v>
      </c>
      <c r="E79" s="97" t="s">
        <v>249</v>
      </c>
      <c r="F79" s="98"/>
    </row>
    <row r="80" spans="1:6">
      <c r="A80" s="95" t="s">
        <v>73</v>
      </c>
      <c r="B80" s="96">
        <v>1520</v>
      </c>
      <c r="C80" s="97" t="s">
        <v>250</v>
      </c>
      <c r="D80" s="97" t="s">
        <v>251</v>
      </c>
      <c r="E80" s="97" t="s">
        <v>250</v>
      </c>
      <c r="F80" s="98"/>
    </row>
    <row r="81" spans="1:6">
      <c r="A81" s="95" t="s">
        <v>73</v>
      </c>
      <c r="B81" s="96">
        <v>1530</v>
      </c>
      <c r="C81" s="97" t="s">
        <v>252</v>
      </c>
      <c r="D81" s="97" t="s">
        <v>253</v>
      </c>
      <c r="E81" s="97" t="s">
        <v>252</v>
      </c>
      <c r="F81" s="98"/>
    </row>
    <row r="82" spans="1:6">
      <c r="A82" s="95" t="s">
        <v>73</v>
      </c>
      <c r="B82" s="96">
        <v>1540</v>
      </c>
      <c r="C82" s="97" t="s">
        <v>254</v>
      </c>
      <c r="D82" s="97" t="s">
        <v>255</v>
      </c>
      <c r="E82" s="97" t="s">
        <v>256</v>
      </c>
      <c r="F82" s="98"/>
    </row>
    <row r="83" spans="1:6">
      <c r="A83" s="95" t="s">
        <v>73</v>
      </c>
      <c r="B83" s="96">
        <v>1550</v>
      </c>
      <c r="C83" s="97" t="s">
        <v>257</v>
      </c>
      <c r="D83" s="97" t="s">
        <v>258</v>
      </c>
      <c r="E83" s="97" t="s">
        <v>259</v>
      </c>
      <c r="F83" s="98"/>
    </row>
    <row r="84" spans="1:6" ht="27">
      <c r="A84" s="95" t="s">
        <v>73</v>
      </c>
      <c r="B84" s="96">
        <v>1560</v>
      </c>
      <c r="C84" s="97" t="s">
        <v>260</v>
      </c>
      <c r="D84" s="97" t="s">
        <v>261</v>
      </c>
      <c r="E84" s="97" t="s">
        <v>262</v>
      </c>
      <c r="F84" s="98"/>
    </row>
    <row r="85" spans="1:6">
      <c r="A85" s="95" t="s">
        <v>73</v>
      </c>
      <c r="B85" s="96">
        <v>1570</v>
      </c>
      <c r="C85" s="97" t="s">
        <v>263</v>
      </c>
      <c r="D85" s="97" t="s">
        <v>264</v>
      </c>
      <c r="E85" s="97" t="s">
        <v>265</v>
      </c>
      <c r="F85" s="98"/>
    </row>
    <row r="86" spans="1:6">
      <c r="A86" s="95" t="s">
        <v>73</v>
      </c>
      <c r="B86" s="96">
        <v>1580</v>
      </c>
      <c r="C86" s="97" t="s">
        <v>266</v>
      </c>
      <c r="D86" s="97" t="s">
        <v>267</v>
      </c>
      <c r="E86" s="97" t="s">
        <v>266</v>
      </c>
      <c r="F86" s="98"/>
    </row>
    <row r="87" spans="1:6">
      <c r="A87" s="95" t="s">
        <v>38</v>
      </c>
      <c r="B87" s="96">
        <v>2000</v>
      </c>
      <c r="C87" s="97" t="s">
        <v>268</v>
      </c>
      <c r="D87" s="97" t="s">
        <v>269</v>
      </c>
      <c r="E87" s="97" t="s">
        <v>270</v>
      </c>
      <c r="F87" s="98"/>
    </row>
    <row r="88" spans="1:6">
      <c r="A88" s="95" t="s">
        <v>38</v>
      </c>
      <c r="B88" s="96">
        <v>2010</v>
      </c>
      <c r="C88" s="97" t="s">
        <v>271</v>
      </c>
      <c r="D88" s="97" t="s">
        <v>272</v>
      </c>
      <c r="E88" s="97" t="s">
        <v>271</v>
      </c>
      <c r="F88" s="98"/>
    </row>
    <row r="89" spans="1:6">
      <c r="A89" s="95" t="s">
        <v>38</v>
      </c>
      <c r="B89" s="96">
        <v>2020</v>
      </c>
      <c r="C89" s="97" t="s">
        <v>60</v>
      </c>
      <c r="D89" s="97" t="s">
        <v>82</v>
      </c>
      <c r="E89" s="97" t="s">
        <v>60</v>
      </c>
      <c r="F89" s="98"/>
    </row>
    <row r="90" spans="1:6">
      <c r="A90" s="95" t="s">
        <v>38</v>
      </c>
      <c r="B90" s="96">
        <v>2030</v>
      </c>
      <c r="C90" s="97" t="s">
        <v>59</v>
      </c>
      <c r="D90" s="97" t="s">
        <v>90</v>
      </c>
      <c r="E90" s="97" t="s">
        <v>91</v>
      </c>
      <c r="F90" s="98"/>
    </row>
    <row r="91" spans="1:6">
      <c r="A91" s="95" t="s">
        <v>38</v>
      </c>
      <c r="B91" s="96">
        <v>2040</v>
      </c>
      <c r="C91" s="97" t="s">
        <v>92</v>
      </c>
      <c r="D91" s="97" t="s">
        <v>93</v>
      </c>
      <c r="E91" s="97" t="s">
        <v>92</v>
      </c>
      <c r="F91" s="98"/>
    </row>
    <row r="92" spans="1:6">
      <c r="A92" s="95" t="s">
        <v>38</v>
      </c>
      <c r="B92" s="96">
        <v>2050</v>
      </c>
      <c r="C92" s="97" t="s">
        <v>94</v>
      </c>
      <c r="D92" s="97" t="s">
        <v>95</v>
      </c>
      <c r="E92" s="97" t="s">
        <v>94</v>
      </c>
      <c r="F92" s="98"/>
    </row>
    <row r="93" spans="1:6">
      <c r="A93" s="95" t="s">
        <v>38</v>
      </c>
      <c r="B93" s="96">
        <v>2060</v>
      </c>
      <c r="C93" s="97" t="s">
        <v>96</v>
      </c>
      <c r="D93" s="97" t="s">
        <v>97</v>
      </c>
      <c r="E93" s="97" t="s">
        <v>96</v>
      </c>
      <c r="F93" s="98"/>
    </row>
    <row r="94" spans="1:6">
      <c r="A94" s="95" t="s">
        <v>38</v>
      </c>
      <c r="B94" s="96">
        <v>2070</v>
      </c>
      <c r="C94" s="97" t="s">
        <v>273</v>
      </c>
      <c r="D94" s="97" t="s">
        <v>274</v>
      </c>
      <c r="E94" s="97" t="s">
        <v>275</v>
      </c>
      <c r="F94" s="98"/>
    </row>
    <row r="95" spans="1:6">
      <c r="A95" s="95" t="s">
        <v>38</v>
      </c>
      <c r="B95" s="96">
        <v>2080</v>
      </c>
      <c r="C95" s="97" t="s">
        <v>58</v>
      </c>
      <c r="D95" s="97" t="s">
        <v>98</v>
      </c>
      <c r="E95" s="97" t="s">
        <v>58</v>
      </c>
      <c r="F95" s="98"/>
    </row>
    <row r="96" spans="1:6" ht="67.5">
      <c r="A96" s="95" t="s">
        <v>38</v>
      </c>
      <c r="B96" s="96">
        <v>2090</v>
      </c>
      <c r="C96" s="97" t="s">
        <v>276</v>
      </c>
      <c r="D96" s="97" t="s">
        <v>277</v>
      </c>
      <c r="E96" s="97" t="s">
        <v>278</v>
      </c>
      <c r="F96" s="98"/>
    </row>
    <row r="97" spans="1:6" ht="54">
      <c r="A97" s="95" t="s">
        <v>38</v>
      </c>
      <c r="B97" s="96">
        <v>2100</v>
      </c>
      <c r="C97" s="97" t="s">
        <v>279</v>
      </c>
      <c r="D97" s="97" t="s">
        <v>280</v>
      </c>
      <c r="E97" s="97" t="s">
        <v>281</v>
      </c>
      <c r="F97" s="98"/>
    </row>
    <row r="98" spans="1:6">
      <c r="A98" s="95" t="s">
        <v>38</v>
      </c>
      <c r="B98" s="96">
        <v>2110</v>
      </c>
      <c r="C98" s="97" t="s">
        <v>282</v>
      </c>
      <c r="D98" s="97" t="s">
        <v>283</v>
      </c>
      <c r="E98" s="97" t="s">
        <v>284</v>
      </c>
      <c r="F98" s="98"/>
    </row>
    <row r="99" spans="1:6">
      <c r="A99" s="95" t="s">
        <v>38</v>
      </c>
      <c r="B99" s="96">
        <v>2120</v>
      </c>
      <c r="C99" s="97" t="s">
        <v>86</v>
      </c>
      <c r="D99" s="97" t="s">
        <v>87</v>
      </c>
      <c r="E99" s="97" t="s">
        <v>86</v>
      </c>
      <c r="F99" s="98"/>
    </row>
    <row r="100" spans="1:6">
      <c r="A100" s="95" t="s">
        <v>38</v>
      </c>
      <c r="B100" s="96">
        <v>2130</v>
      </c>
      <c r="C100" s="97" t="s">
        <v>88</v>
      </c>
      <c r="D100" s="97" t="s">
        <v>89</v>
      </c>
      <c r="E100" s="97" t="s">
        <v>88</v>
      </c>
      <c r="F100" s="98"/>
    </row>
    <row r="101" spans="1:6">
      <c r="A101" s="95" t="s">
        <v>38</v>
      </c>
      <c r="B101" s="96">
        <v>2140</v>
      </c>
      <c r="C101" s="97" t="s">
        <v>285</v>
      </c>
      <c r="D101" s="97" t="s">
        <v>258</v>
      </c>
      <c r="E101" s="97" t="s">
        <v>286</v>
      </c>
      <c r="F101" s="98"/>
    </row>
    <row r="102" spans="1:6" ht="40.5">
      <c r="A102" s="95" t="s">
        <v>38</v>
      </c>
      <c r="B102" s="96">
        <v>2150</v>
      </c>
      <c r="C102" s="97" t="s">
        <v>287</v>
      </c>
      <c r="D102" s="97" t="s">
        <v>288</v>
      </c>
      <c r="E102" s="97" t="s">
        <v>289</v>
      </c>
      <c r="F102" s="98"/>
    </row>
    <row r="103" spans="1:6" ht="94.5">
      <c r="A103" s="95" t="s">
        <v>38</v>
      </c>
      <c r="B103" s="96">
        <v>2160</v>
      </c>
      <c r="C103" s="97" t="s">
        <v>290</v>
      </c>
      <c r="D103" s="97" t="s">
        <v>291</v>
      </c>
      <c r="E103" s="97" t="s">
        <v>292</v>
      </c>
      <c r="F103" s="98"/>
    </row>
    <row r="104" spans="1:6">
      <c r="A104" s="95" t="s">
        <v>38</v>
      </c>
      <c r="B104" s="96">
        <v>2170</v>
      </c>
      <c r="C104" s="97" t="s">
        <v>293</v>
      </c>
      <c r="D104" s="97" t="s">
        <v>294</v>
      </c>
      <c r="E104" s="97" t="s">
        <v>295</v>
      </c>
      <c r="F104" s="98"/>
    </row>
    <row r="105" spans="1:6">
      <c r="A105" s="95" t="s">
        <v>38</v>
      </c>
      <c r="B105" s="96">
        <v>2180</v>
      </c>
      <c r="C105" s="97" t="s">
        <v>296</v>
      </c>
      <c r="D105" s="97" t="s">
        <v>297</v>
      </c>
      <c r="E105" s="97" t="s">
        <v>296</v>
      </c>
      <c r="F105" s="98"/>
    </row>
    <row r="106" spans="1:6">
      <c r="A106" s="95" t="s">
        <v>38</v>
      </c>
      <c r="B106" s="96">
        <v>2190</v>
      </c>
      <c r="C106" s="97" t="s">
        <v>298</v>
      </c>
      <c r="D106" s="97" t="s">
        <v>299</v>
      </c>
      <c r="E106" s="97" t="s">
        <v>298</v>
      </c>
      <c r="F106" s="98"/>
    </row>
    <row r="107" spans="1:6">
      <c r="A107" s="95" t="s">
        <v>38</v>
      </c>
      <c r="B107" s="96">
        <v>2200</v>
      </c>
      <c r="C107" s="97" t="s">
        <v>300</v>
      </c>
      <c r="D107" s="97" t="s">
        <v>301</v>
      </c>
      <c r="E107" s="97" t="s">
        <v>302</v>
      </c>
      <c r="F107" s="98"/>
    </row>
    <row r="108" spans="1:6">
      <c r="A108" s="95" t="s">
        <v>38</v>
      </c>
      <c r="B108" s="96">
        <v>2210</v>
      </c>
      <c r="C108" s="97" t="s">
        <v>303</v>
      </c>
      <c r="D108" s="97" t="s">
        <v>304</v>
      </c>
      <c r="E108" s="97" t="s">
        <v>303</v>
      </c>
      <c r="F108" s="98"/>
    </row>
    <row r="109" spans="1:6" ht="27">
      <c r="A109" s="95" t="s">
        <v>38</v>
      </c>
      <c r="B109" s="96">
        <v>2220</v>
      </c>
      <c r="C109" s="97" t="s">
        <v>305</v>
      </c>
      <c r="D109" s="97" t="s">
        <v>306</v>
      </c>
      <c r="E109" s="97" t="s">
        <v>307</v>
      </c>
      <c r="F109" s="98"/>
    </row>
    <row r="110" spans="1:6">
      <c r="A110" s="95" t="s">
        <v>38</v>
      </c>
      <c r="B110" s="96">
        <v>2230</v>
      </c>
      <c r="C110" s="97" t="s">
        <v>308</v>
      </c>
      <c r="D110" s="97" t="s">
        <v>309</v>
      </c>
      <c r="E110" s="97" t="s">
        <v>310</v>
      </c>
      <c r="F110" s="98"/>
    </row>
    <row r="111" spans="1:6">
      <c r="A111" s="95" t="s">
        <v>38</v>
      </c>
      <c r="B111" s="96">
        <v>2240</v>
      </c>
      <c r="C111" s="97" t="s">
        <v>311</v>
      </c>
      <c r="D111" s="97" t="s">
        <v>312</v>
      </c>
      <c r="E111" s="97" t="s">
        <v>313</v>
      </c>
      <c r="F111" s="98"/>
    </row>
    <row r="112" spans="1:6">
      <c r="A112" s="95" t="s">
        <v>38</v>
      </c>
      <c r="B112" s="96">
        <v>2250</v>
      </c>
      <c r="C112" s="97" t="s">
        <v>103</v>
      </c>
      <c r="D112" s="97" t="s">
        <v>314</v>
      </c>
      <c r="E112" s="97" t="s">
        <v>315</v>
      </c>
      <c r="F112" s="98"/>
    </row>
    <row r="113" spans="1:6">
      <c r="A113" s="95" t="s">
        <v>38</v>
      </c>
      <c r="B113" s="96">
        <v>2260</v>
      </c>
      <c r="C113" s="97" t="s">
        <v>316</v>
      </c>
      <c r="D113" s="97" t="s">
        <v>317</v>
      </c>
      <c r="E113" s="97" t="s">
        <v>318</v>
      </c>
      <c r="F113" s="98"/>
    </row>
    <row r="114" spans="1:6">
      <c r="A114" s="95" t="s">
        <v>38</v>
      </c>
      <c r="B114" s="96">
        <v>2270</v>
      </c>
      <c r="C114" s="97" t="s">
        <v>106</v>
      </c>
      <c r="D114" s="97" t="s">
        <v>319</v>
      </c>
      <c r="E114" s="97" t="s">
        <v>108</v>
      </c>
      <c r="F114" s="98"/>
    </row>
    <row r="115" spans="1:6">
      <c r="A115" s="95" t="s">
        <v>38</v>
      </c>
      <c r="B115" s="96">
        <v>2280</v>
      </c>
      <c r="C115" s="97" t="s">
        <v>320</v>
      </c>
      <c r="D115" s="97" t="s">
        <v>321</v>
      </c>
      <c r="E115" s="97" t="s">
        <v>322</v>
      </c>
      <c r="F115" s="98"/>
    </row>
    <row r="116" spans="1:6">
      <c r="A116" s="95" t="s">
        <v>38</v>
      </c>
      <c r="B116" s="96">
        <v>2290</v>
      </c>
      <c r="C116" s="97" t="s">
        <v>143</v>
      </c>
      <c r="D116" s="97" t="s">
        <v>144</v>
      </c>
      <c r="E116" s="97" t="s">
        <v>145</v>
      </c>
      <c r="F116" s="98"/>
    </row>
    <row r="117" spans="1:6">
      <c r="A117" s="95" t="s">
        <v>38</v>
      </c>
      <c r="B117" s="96">
        <v>2300</v>
      </c>
      <c r="C117" s="97" t="s">
        <v>77</v>
      </c>
      <c r="D117" s="97" t="s">
        <v>78</v>
      </c>
      <c r="E117" s="97" t="s">
        <v>79</v>
      </c>
      <c r="F117" s="98"/>
    </row>
    <row r="118" spans="1:6">
      <c r="A118" s="95" t="s">
        <v>38</v>
      </c>
      <c r="B118" s="96">
        <v>2305</v>
      </c>
      <c r="C118" s="102" t="s">
        <v>323</v>
      </c>
      <c r="D118" s="104" t="s">
        <v>324</v>
      </c>
      <c r="E118" s="102" t="s">
        <v>323</v>
      </c>
      <c r="F118" s="98"/>
    </row>
    <row r="119" spans="1:6">
      <c r="A119" s="95" t="s">
        <v>38</v>
      </c>
      <c r="B119" s="96">
        <v>2310</v>
      </c>
      <c r="C119" s="97" t="s">
        <v>325</v>
      </c>
      <c r="D119" s="97" t="s">
        <v>326</v>
      </c>
      <c r="E119" s="97" t="s">
        <v>327</v>
      </c>
      <c r="F119" s="98"/>
    </row>
    <row r="120" spans="1:6">
      <c r="A120" s="95" t="s">
        <v>38</v>
      </c>
      <c r="B120" s="96">
        <v>2320</v>
      </c>
      <c r="C120" s="97" t="s">
        <v>328</v>
      </c>
      <c r="D120" s="97" t="s">
        <v>329</v>
      </c>
      <c r="E120" s="97" t="s">
        <v>330</v>
      </c>
      <c r="F120" s="98"/>
    </row>
    <row r="121" spans="1:6">
      <c r="A121" s="95" t="s">
        <v>38</v>
      </c>
      <c r="B121" s="96">
        <v>2330</v>
      </c>
      <c r="C121" s="97" t="s">
        <v>331</v>
      </c>
      <c r="D121" s="97" t="s">
        <v>332</v>
      </c>
      <c r="E121" s="97" t="s">
        <v>333</v>
      </c>
      <c r="F121" s="98"/>
    </row>
    <row r="122" spans="1:6">
      <c r="A122" s="95" t="s">
        <v>38</v>
      </c>
      <c r="B122" s="96">
        <v>2340</v>
      </c>
      <c r="C122" s="97" t="s">
        <v>334</v>
      </c>
      <c r="D122" s="97" t="s">
        <v>335</v>
      </c>
      <c r="E122" s="97" t="s">
        <v>336</v>
      </c>
      <c r="F122" s="98"/>
    </row>
    <row r="123" spans="1:6">
      <c r="A123" s="95" t="s">
        <v>38</v>
      </c>
      <c r="B123" s="96">
        <v>2350</v>
      </c>
      <c r="C123" s="97" t="s">
        <v>337</v>
      </c>
      <c r="D123" s="97" t="s">
        <v>338</v>
      </c>
      <c r="E123" s="97" t="s">
        <v>337</v>
      </c>
      <c r="F123" s="98"/>
    </row>
    <row r="124" spans="1:6">
      <c r="A124" s="95" t="s">
        <v>38</v>
      </c>
      <c r="B124" s="96">
        <v>2360</v>
      </c>
      <c r="C124" s="97" t="s">
        <v>339</v>
      </c>
      <c r="D124" s="97" t="s">
        <v>340</v>
      </c>
      <c r="E124" s="97" t="s">
        <v>339</v>
      </c>
      <c r="F124" s="98"/>
    </row>
    <row r="125" spans="1:6">
      <c r="A125" s="95" t="s">
        <v>38</v>
      </c>
      <c r="B125" s="96">
        <v>2370</v>
      </c>
      <c r="C125" s="97" t="s">
        <v>341</v>
      </c>
      <c r="D125" s="97" t="s">
        <v>342</v>
      </c>
      <c r="E125" s="97" t="s">
        <v>343</v>
      </c>
      <c r="F125" s="98"/>
    </row>
    <row r="126" spans="1:6">
      <c r="A126" s="95" t="s">
        <v>38</v>
      </c>
      <c r="B126" s="96">
        <v>2380</v>
      </c>
      <c r="C126" s="97" t="s">
        <v>344</v>
      </c>
      <c r="D126" s="97" t="s">
        <v>345</v>
      </c>
      <c r="E126" s="97" t="s">
        <v>346</v>
      </c>
      <c r="F126" s="98"/>
    </row>
    <row r="127" spans="1:6">
      <c r="A127" s="95" t="s">
        <v>38</v>
      </c>
      <c r="B127" s="96">
        <v>2390</v>
      </c>
      <c r="C127" s="97" t="s">
        <v>347</v>
      </c>
      <c r="D127" s="97" t="s">
        <v>348</v>
      </c>
      <c r="E127" s="97" t="s">
        <v>349</v>
      </c>
      <c r="F127" s="98"/>
    </row>
    <row r="128" spans="1:6">
      <c r="A128" s="95" t="s">
        <v>38</v>
      </c>
      <c r="B128" s="96">
        <v>2400</v>
      </c>
      <c r="C128" s="97" t="s">
        <v>350</v>
      </c>
      <c r="D128" s="97" t="s">
        <v>351</v>
      </c>
      <c r="E128" s="97" t="s">
        <v>352</v>
      </c>
      <c r="F128" s="98"/>
    </row>
    <row r="129" spans="1:6">
      <c r="A129" s="95" t="s">
        <v>38</v>
      </c>
      <c r="B129" s="96">
        <v>2410</v>
      </c>
      <c r="C129" s="97" t="s">
        <v>353</v>
      </c>
      <c r="D129" s="97" t="s">
        <v>354</v>
      </c>
      <c r="E129" s="97" t="s">
        <v>355</v>
      </c>
      <c r="F129" s="98"/>
    </row>
    <row r="130" spans="1:6">
      <c r="A130" s="95" t="s">
        <v>38</v>
      </c>
      <c r="B130" s="96">
        <v>2420</v>
      </c>
      <c r="C130" s="97" t="s">
        <v>356</v>
      </c>
      <c r="D130" s="97" t="s">
        <v>357</v>
      </c>
      <c r="E130" s="97" t="s">
        <v>358</v>
      </c>
      <c r="F130" s="98"/>
    </row>
    <row r="131" spans="1:6">
      <c r="A131" s="95" t="s">
        <v>38</v>
      </c>
      <c r="B131" s="96">
        <v>2425</v>
      </c>
      <c r="C131" s="97" t="s">
        <v>359</v>
      </c>
      <c r="D131" s="103" t="s">
        <v>360</v>
      </c>
      <c r="E131" s="97" t="s">
        <v>361</v>
      </c>
      <c r="F131" s="98"/>
    </row>
    <row r="132" spans="1:6">
      <c r="A132" s="95" t="s">
        <v>38</v>
      </c>
      <c r="B132" s="96">
        <v>2426</v>
      </c>
      <c r="C132" s="102" t="s">
        <v>362</v>
      </c>
      <c r="D132" s="102" t="s">
        <v>363</v>
      </c>
      <c r="E132" s="102" t="s">
        <v>364</v>
      </c>
      <c r="F132" s="98"/>
    </row>
    <row r="133" spans="1:6">
      <c r="A133" s="95" t="s">
        <v>38</v>
      </c>
      <c r="B133" s="96">
        <v>2430</v>
      </c>
      <c r="C133" s="97" t="s">
        <v>365</v>
      </c>
      <c r="D133" s="97" t="s">
        <v>366</v>
      </c>
      <c r="E133" s="97" t="s">
        <v>367</v>
      </c>
      <c r="F133" s="98"/>
    </row>
    <row r="134" spans="1:6">
      <c r="A134" s="95" t="s">
        <v>38</v>
      </c>
      <c r="B134" s="96">
        <v>2431</v>
      </c>
      <c r="C134" s="97" t="s">
        <v>365</v>
      </c>
      <c r="D134" s="97" t="s">
        <v>366</v>
      </c>
      <c r="E134" s="97" t="s">
        <v>368</v>
      </c>
      <c r="F134" s="98"/>
    </row>
    <row r="135" spans="1:6">
      <c r="A135" s="95" t="s">
        <v>38</v>
      </c>
      <c r="B135" s="96">
        <v>2440</v>
      </c>
      <c r="C135" s="97" t="s">
        <v>369</v>
      </c>
      <c r="D135" s="97" t="s">
        <v>370</v>
      </c>
      <c r="E135" s="97" t="s">
        <v>371</v>
      </c>
      <c r="F135" s="98"/>
    </row>
    <row r="136" spans="1:6">
      <c r="A136" s="95" t="s">
        <v>38</v>
      </c>
      <c r="B136" s="96">
        <v>2441</v>
      </c>
      <c r="C136" s="97" t="s">
        <v>369</v>
      </c>
      <c r="D136" s="97" t="s">
        <v>370</v>
      </c>
      <c r="E136" s="97" t="s">
        <v>372</v>
      </c>
      <c r="F136" s="98"/>
    </row>
    <row r="137" spans="1:6">
      <c r="A137" s="95" t="s">
        <v>38</v>
      </c>
      <c r="B137" s="96">
        <v>2450</v>
      </c>
      <c r="C137" s="97" t="s">
        <v>241</v>
      </c>
      <c r="D137" s="97" t="s">
        <v>242</v>
      </c>
      <c r="E137" s="97" t="s">
        <v>243</v>
      </c>
      <c r="F137" s="98"/>
    </row>
    <row r="138" spans="1:6">
      <c r="A138" s="105" t="s">
        <v>373</v>
      </c>
      <c r="B138" s="106">
        <v>3000</v>
      </c>
      <c r="C138" s="99" t="s">
        <v>561</v>
      </c>
      <c r="D138" s="99" t="s">
        <v>562</v>
      </c>
      <c r="E138" s="99" t="s">
        <v>563</v>
      </c>
      <c r="F138" s="98"/>
    </row>
    <row r="139" spans="1:6">
      <c r="A139" s="95" t="s">
        <v>373</v>
      </c>
      <c r="B139" s="96">
        <v>3010</v>
      </c>
      <c r="C139" s="97" t="s">
        <v>374</v>
      </c>
      <c r="D139" s="97" t="s">
        <v>375</v>
      </c>
      <c r="E139" s="97" t="s">
        <v>376</v>
      </c>
      <c r="F139" s="98"/>
    </row>
    <row r="140" spans="1:6">
      <c r="A140" s="95" t="s">
        <v>373</v>
      </c>
      <c r="B140" s="96">
        <v>3015</v>
      </c>
      <c r="C140" s="97" t="s">
        <v>62</v>
      </c>
      <c r="D140" s="97" t="s">
        <v>377</v>
      </c>
      <c r="E140" s="97" t="s">
        <v>378</v>
      </c>
      <c r="F140" s="98"/>
    </row>
    <row r="141" spans="1:6">
      <c r="A141" s="95" t="s">
        <v>373</v>
      </c>
      <c r="B141" s="96">
        <v>3020</v>
      </c>
      <c r="C141" s="97" t="s">
        <v>379</v>
      </c>
      <c r="D141" s="97" t="s">
        <v>380</v>
      </c>
      <c r="E141" s="97" t="s">
        <v>379</v>
      </c>
      <c r="F141" s="98"/>
    </row>
    <row r="142" spans="1:6">
      <c r="A142" s="95" t="s">
        <v>373</v>
      </c>
      <c r="B142" s="96">
        <v>3030</v>
      </c>
      <c r="C142" s="97" t="s">
        <v>92</v>
      </c>
      <c r="D142" s="97" t="s">
        <v>381</v>
      </c>
      <c r="E142" s="97" t="s">
        <v>92</v>
      </c>
      <c r="F142" s="98"/>
    </row>
    <row r="143" spans="1:6">
      <c r="A143" s="95" t="s">
        <v>373</v>
      </c>
      <c r="B143" s="96">
        <v>3040</v>
      </c>
      <c r="C143" s="97" t="s">
        <v>94</v>
      </c>
      <c r="D143" s="97" t="s">
        <v>382</v>
      </c>
      <c r="E143" s="97" t="s">
        <v>94</v>
      </c>
      <c r="F143" s="98"/>
    </row>
    <row r="144" spans="1:6">
      <c r="A144" s="95" t="s">
        <v>373</v>
      </c>
      <c r="B144" s="96">
        <v>3050</v>
      </c>
      <c r="C144" s="97" t="s">
        <v>96</v>
      </c>
      <c r="D144" s="97" t="s">
        <v>383</v>
      </c>
      <c r="E144" s="97" t="s">
        <v>96</v>
      </c>
      <c r="F144" s="98"/>
    </row>
    <row r="145" spans="1:6">
      <c r="A145" s="95" t="s">
        <v>373</v>
      </c>
      <c r="B145" s="96">
        <v>3060</v>
      </c>
      <c r="C145" s="97" t="s">
        <v>164</v>
      </c>
      <c r="D145" s="97" t="s">
        <v>384</v>
      </c>
      <c r="E145" s="97" t="s">
        <v>164</v>
      </c>
      <c r="F145" s="98"/>
    </row>
    <row r="146" spans="1:6">
      <c r="A146" s="95" t="s">
        <v>373</v>
      </c>
      <c r="B146" s="96">
        <v>3070</v>
      </c>
      <c r="C146" s="97" t="s">
        <v>385</v>
      </c>
      <c r="D146" s="97" t="s">
        <v>386</v>
      </c>
      <c r="E146" s="97" t="s">
        <v>387</v>
      </c>
      <c r="F146" s="98"/>
    </row>
    <row r="147" spans="1:6">
      <c r="A147" s="95" t="s">
        <v>373</v>
      </c>
      <c r="B147" s="96">
        <v>3080</v>
      </c>
      <c r="C147" s="97" t="s">
        <v>388</v>
      </c>
      <c r="D147" s="97" t="s">
        <v>389</v>
      </c>
      <c r="E147" s="97" t="s">
        <v>390</v>
      </c>
      <c r="F147" s="98"/>
    </row>
    <row r="148" spans="1:6">
      <c r="A148" s="95" t="s">
        <v>373</v>
      </c>
      <c r="B148" s="96">
        <v>3090</v>
      </c>
      <c r="C148" s="97" t="s">
        <v>86</v>
      </c>
      <c r="D148" s="97" t="s">
        <v>87</v>
      </c>
      <c r="E148" s="97" t="s">
        <v>86</v>
      </c>
      <c r="F148" s="98"/>
    </row>
    <row r="149" spans="1:6">
      <c r="A149" s="95" t="s">
        <v>373</v>
      </c>
      <c r="B149" s="96">
        <v>3100</v>
      </c>
      <c r="C149" s="97" t="s">
        <v>88</v>
      </c>
      <c r="D149" s="97" t="s">
        <v>391</v>
      </c>
      <c r="E149" s="97" t="s">
        <v>88</v>
      </c>
      <c r="F149" s="98"/>
    </row>
    <row r="150" spans="1:6">
      <c r="A150" s="95" t="s">
        <v>373</v>
      </c>
      <c r="B150" s="96">
        <v>3110</v>
      </c>
      <c r="C150" s="97" t="s">
        <v>392</v>
      </c>
      <c r="D150" s="97" t="s">
        <v>393</v>
      </c>
      <c r="E150" s="97" t="s">
        <v>392</v>
      </c>
      <c r="F150" s="98"/>
    </row>
    <row r="151" spans="1:6">
      <c r="A151" s="95" t="s">
        <v>373</v>
      </c>
      <c r="B151" s="96">
        <v>3120</v>
      </c>
      <c r="C151" s="97" t="s">
        <v>394</v>
      </c>
      <c r="D151" s="97" t="s">
        <v>395</v>
      </c>
      <c r="E151" s="97" t="s">
        <v>396</v>
      </c>
      <c r="F151" s="98"/>
    </row>
    <row r="152" spans="1:6">
      <c r="A152" s="95" t="s">
        <v>373</v>
      </c>
      <c r="B152" s="96">
        <v>3130</v>
      </c>
      <c r="C152" s="97" t="s">
        <v>60</v>
      </c>
      <c r="D152" s="97" t="s">
        <v>82</v>
      </c>
      <c r="E152" s="97" t="s">
        <v>60</v>
      </c>
      <c r="F152" s="98"/>
    </row>
    <row r="153" spans="1:6">
      <c r="A153" s="95" t="s">
        <v>373</v>
      </c>
      <c r="B153" s="96">
        <v>3140</v>
      </c>
      <c r="C153" s="97" t="s">
        <v>59</v>
      </c>
      <c r="D153" s="97" t="s">
        <v>90</v>
      </c>
      <c r="E153" s="97" t="s">
        <v>91</v>
      </c>
      <c r="F153" s="98"/>
    </row>
    <row r="154" spans="1:6">
      <c r="A154" s="95" t="s">
        <v>373</v>
      </c>
      <c r="B154" s="96">
        <v>3150</v>
      </c>
      <c r="C154" s="97" t="s">
        <v>92</v>
      </c>
      <c r="D154" s="97" t="s">
        <v>397</v>
      </c>
      <c r="E154" s="97" t="s">
        <v>398</v>
      </c>
      <c r="F154" s="98"/>
    </row>
    <row r="155" spans="1:6">
      <c r="A155" s="95" t="s">
        <v>373</v>
      </c>
      <c r="B155" s="96">
        <v>3160</v>
      </c>
      <c r="C155" s="97" t="s">
        <v>58</v>
      </c>
      <c r="D155" s="97" t="s">
        <v>98</v>
      </c>
      <c r="E155" s="97" t="s">
        <v>58</v>
      </c>
      <c r="F155" s="98"/>
    </row>
    <row r="156" spans="1:6">
      <c r="A156" s="95" t="s">
        <v>373</v>
      </c>
      <c r="B156" s="96">
        <v>3170</v>
      </c>
      <c r="C156" s="97" t="s">
        <v>109</v>
      </c>
      <c r="D156" s="97" t="s">
        <v>110</v>
      </c>
      <c r="E156" s="97" t="s">
        <v>109</v>
      </c>
      <c r="F156" s="98"/>
    </row>
    <row r="157" spans="1:6">
      <c r="A157" s="95" t="s">
        <v>373</v>
      </c>
      <c r="B157" s="96">
        <v>3180</v>
      </c>
      <c r="C157" s="97" t="s">
        <v>103</v>
      </c>
      <c r="D157" s="97" t="s">
        <v>104</v>
      </c>
      <c r="E157" s="97" t="s">
        <v>105</v>
      </c>
      <c r="F157" s="98"/>
    </row>
    <row r="158" spans="1:6">
      <c r="A158" s="95" t="s">
        <v>373</v>
      </c>
      <c r="B158" s="96">
        <v>3190</v>
      </c>
      <c r="C158" s="97" t="s">
        <v>399</v>
      </c>
      <c r="D158" s="97" t="s">
        <v>400</v>
      </c>
      <c r="E158" s="97" t="s">
        <v>401</v>
      </c>
      <c r="F158" s="98"/>
    </row>
    <row r="159" spans="1:6">
      <c r="A159" s="95" t="s">
        <v>373</v>
      </c>
      <c r="B159" s="96">
        <v>3200</v>
      </c>
      <c r="C159" s="97" t="s">
        <v>148</v>
      </c>
      <c r="D159" s="97" t="s">
        <v>149</v>
      </c>
      <c r="E159" s="97" t="s">
        <v>150</v>
      </c>
      <c r="F159" s="98"/>
    </row>
    <row r="160" spans="1:6">
      <c r="A160" s="95" t="s">
        <v>373</v>
      </c>
      <c r="B160" s="96">
        <v>3210</v>
      </c>
      <c r="C160" s="97" t="s">
        <v>106</v>
      </c>
      <c r="D160" s="97" t="s">
        <v>319</v>
      </c>
      <c r="E160" s="97" t="s">
        <v>108</v>
      </c>
      <c r="F160" s="98"/>
    </row>
    <row r="161" spans="1:6">
      <c r="A161" s="95" t="s">
        <v>373</v>
      </c>
      <c r="B161" s="96">
        <v>3220</v>
      </c>
      <c r="C161" s="97" t="s">
        <v>316</v>
      </c>
      <c r="D161" s="97" t="s">
        <v>317</v>
      </c>
      <c r="E161" s="97" t="s">
        <v>318</v>
      </c>
      <c r="F161" s="98"/>
    </row>
    <row r="162" spans="1:6">
      <c r="A162" s="95" t="s">
        <v>373</v>
      </c>
      <c r="B162" s="96">
        <v>3230</v>
      </c>
      <c r="C162" s="97" t="s">
        <v>116</v>
      </c>
      <c r="D162" s="97" t="s">
        <v>402</v>
      </c>
      <c r="E162" s="97" t="s">
        <v>116</v>
      </c>
      <c r="F162" s="98"/>
    </row>
    <row r="163" spans="1:6">
      <c r="A163" s="95" t="s">
        <v>373</v>
      </c>
      <c r="B163" s="96">
        <v>3240</v>
      </c>
      <c r="C163" s="97" t="s">
        <v>403</v>
      </c>
      <c r="D163" s="97" t="s">
        <v>404</v>
      </c>
      <c r="E163" s="97" t="s">
        <v>405</v>
      </c>
      <c r="F163" s="98"/>
    </row>
    <row r="164" spans="1:6">
      <c r="A164" s="95" t="s">
        <v>373</v>
      </c>
      <c r="B164" s="96">
        <v>3250</v>
      </c>
      <c r="C164" s="97" t="s">
        <v>406</v>
      </c>
      <c r="D164" s="97" t="s">
        <v>407</v>
      </c>
      <c r="E164" s="97" t="s">
        <v>406</v>
      </c>
      <c r="F164" s="98"/>
    </row>
    <row r="165" spans="1:6">
      <c r="A165" s="95" t="s">
        <v>373</v>
      </c>
      <c r="B165" s="96">
        <v>3260</v>
      </c>
      <c r="C165" s="97" t="s">
        <v>408</v>
      </c>
      <c r="D165" s="97" t="s">
        <v>409</v>
      </c>
      <c r="E165" s="97" t="s">
        <v>408</v>
      </c>
      <c r="F165" s="98"/>
    </row>
    <row r="166" spans="1:6">
      <c r="A166" s="95" t="s">
        <v>373</v>
      </c>
      <c r="B166" s="96">
        <v>3270</v>
      </c>
      <c r="C166" s="97" t="s">
        <v>410</v>
      </c>
      <c r="D166" s="97" t="s">
        <v>411</v>
      </c>
      <c r="E166" s="97" t="s">
        <v>412</v>
      </c>
      <c r="F166" s="98"/>
    </row>
    <row r="167" spans="1:6">
      <c r="A167" s="95" t="s">
        <v>373</v>
      </c>
      <c r="B167" s="96">
        <v>3280</v>
      </c>
      <c r="C167" s="97" t="s">
        <v>413</v>
      </c>
      <c r="D167" s="97" t="s">
        <v>414</v>
      </c>
      <c r="E167" s="97" t="s">
        <v>415</v>
      </c>
      <c r="F167" s="98"/>
    </row>
    <row r="168" spans="1:6">
      <c r="A168" s="95" t="s">
        <v>373</v>
      </c>
      <c r="B168" s="96">
        <v>3290</v>
      </c>
      <c r="C168" s="97" t="s">
        <v>416</v>
      </c>
      <c r="D168" s="97" t="s">
        <v>417</v>
      </c>
      <c r="E168" s="97" t="s">
        <v>418</v>
      </c>
      <c r="F168" s="98"/>
    </row>
    <row r="169" spans="1:6">
      <c r="A169" s="95" t="s">
        <v>373</v>
      </c>
      <c r="B169" s="96">
        <v>3300</v>
      </c>
      <c r="C169" s="97" t="s">
        <v>419</v>
      </c>
      <c r="D169" s="97" t="s">
        <v>420</v>
      </c>
      <c r="E169" s="97" t="s">
        <v>421</v>
      </c>
      <c r="F169" s="98"/>
    </row>
    <row r="170" spans="1:6">
      <c r="A170" s="95" t="s">
        <v>373</v>
      </c>
      <c r="B170" s="96">
        <v>3310</v>
      </c>
      <c r="C170" s="97" t="s">
        <v>422</v>
      </c>
      <c r="D170" s="97" t="s">
        <v>264</v>
      </c>
      <c r="E170" s="97" t="s">
        <v>423</v>
      </c>
      <c r="F170" s="98"/>
    </row>
    <row r="171" spans="1:6">
      <c r="A171" s="95" t="s">
        <v>373</v>
      </c>
      <c r="B171" s="96">
        <v>3320</v>
      </c>
      <c r="C171" s="97" t="s">
        <v>424</v>
      </c>
      <c r="D171" s="97" t="s">
        <v>425</v>
      </c>
      <c r="E171" s="97" t="s">
        <v>424</v>
      </c>
      <c r="F171" s="98"/>
    </row>
    <row r="172" spans="1:6">
      <c r="A172" s="95" t="s">
        <v>373</v>
      </c>
      <c r="B172" s="96">
        <v>3330</v>
      </c>
      <c r="C172" s="97" t="s">
        <v>426</v>
      </c>
      <c r="D172" s="97" t="s">
        <v>427</v>
      </c>
      <c r="E172" s="97" t="s">
        <v>428</v>
      </c>
      <c r="F172" s="98"/>
    </row>
    <row r="173" spans="1:6">
      <c r="A173" s="95" t="s">
        <v>373</v>
      </c>
      <c r="B173" s="96">
        <v>3340</v>
      </c>
      <c r="C173" s="97" t="s">
        <v>429</v>
      </c>
      <c r="D173" s="97" t="s">
        <v>430</v>
      </c>
      <c r="E173" s="97" t="s">
        <v>429</v>
      </c>
      <c r="F173" s="98"/>
    </row>
    <row r="174" spans="1:6">
      <c r="A174" s="95" t="s">
        <v>373</v>
      </c>
      <c r="B174" s="96">
        <v>3350</v>
      </c>
      <c r="C174" s="97" t="s">
        <v>431</v>
      </c>
      <c r="D174" s="97" t="s">
        <v>432</v>
      </c>
      <c r="E174" s="97" t="s">
        <v>433</v>
      </c>
      <c r="F174" s="98"/>
    </row>
    <row r="175" spans="1:6">
      <c r="A175" s="95" t="s">
        <v>373</v>
      </c>
      <c r="B175" s="96">
        <v>3360</v>
      </c>
      <c r="C175" s="97" t="s">
        <v>434</v>
      </c>
      <c r="D175" s="97" t="s">
        <v>435</v>
      </c>
      <c r="E175" s="97" t="s">
        <v>434</v>
      </c>
      <c r="F175" s="98"/>
    </row>
    <row r="176" spans="1:6">
      <c r="A176" s="95" t="s">
        <v>373</v>
      </c>
      <c r="B176" s="96">
        <v>3370</v>
      </c>
      <c r="C176" s="97" t="s">
        <v>436</v>
      </c>
      <c r="D176" s="97" t="s">
        <v>437</v>
      </c>
      <c r="E176" s="97" t="s">
        <v>436</v>
      </c>
      <c r="F176" s="98"/>
    </row>
    <row r="177" spans="1:6">
      <c r="A177" s="95" t="s">
        <v>373</v>
      </c>
      <c r="B177" s="96">
        <v>3380</v>
      </c>
      <c r="C177" s="97" t="s">
        <v>438</v>
      </c>
      <c r="D177" s="97" t="s">
        <v>439</v>
      </c>
      <c r="E177" s="97" t="s">
        <v>438</v>
      </c>
      <c r="F177" s="98"/>
    </row>
    <row r="178" spans="1:6">
      <c r="A178" s="95" t="s">
        <v>373</v>
      </c>
      <c r="B178" s="96">
        <v>3390</v>
      </c>
      <c r="C178" s="97" t="s">
        <v>440</v>
      </c>
      <c r="D178" s="97" t="s">
        <v>441</v>
      </c>
      <c r="E178" s="97" t="s">
        <v>440</v>
      </c>
      <c r="F178" s="98"/>
    </row>
    <row r="179" spans="1:6">
      <c r="A179" s="95" t="s">
        <v>373</v>
      </c>
      <c r="B179" s="96">
        <v>3400</v>
      </c>
      <c r="C179" s="97" t="s">
        <v>442</v>
      </c>
      <c r="D179" s="97" t="s">
        <v>443</v>
      </c>
      <c r="E179" s="97" t="s">
        <v>442</v>
      </c>
      <c r="F179" s="98"/>
    </row>
    <row r="180" spans="1:6">
      <c r="A180" s="95" t="s">
        <v>373</v>
      </c>
      <c r="B180" s="96">
        <v>3410</v>
      </c>
      <c r="C180" s="97" t="s">
        <v>444</v>
      </c>
      <c r="D180" s="97" t="s">
        <v>445</v>
      </c>
      <c r="E180" s="97" t="s">
        <v>444</v>
      </c>
      <c r="F180" s="98"/>
    </row>
    <row r="181" spans="1:6">
      <c r="A181" s="95" t="s">
        <v>373</v>
      </c>
      <c r="B181" s="96">
        <v>3420</v>
      </c>
      <c r="C181" s="97" t="s">
        <v>446</v>
      </c>
      <c r="D181" s="97" t="s">
        <v>446</v>
      </c>
      <c r="E181" s="97" t="s">
        <v>446</v>
      </c>
      <c r="F181" s="98"/>
    </row>
    <row r="182" spans="1:6">
      <c r="A182" s="95" t="s">
        <v>373</v>
      </c>
      <c r="B182" s="96">
        <v>3430</v>
      </c>
      <c r="C182" s="97" t="s">
        <v>447</v>
      </c>
      <c r="D182" s="97" t="s">
        <v>447</v>
      </c>
      <c r="E182" s="97" t="s">
        <v>447</v>
      </c>
      <c r="F182" s="98"/>
    </row>
    <row r="183" spans="1:6">
      <c r="A183" s="95" t="s">
        <v>373</v>
      </c>
      <c r="B183" s="96">
        <v>3440</v>
      </c>
      <c r="C183" s="97" t="s">
        <v>448</v>
      </c>
      <c r="D183" s="97" t="s">
        <v>448</v>
      </c>
      <c r="E183" s="97" t="s">
        <v>448</v>
      </c>
      <c r="F183" s="98"/>
    </row>
    <row r="184" spans="1:6">
      <c r="A184" s="95" t="s">
        <v>373</v>
      </c>
      <c r="B184" s="96">
        <v>3450</v>
      </c>
      <c r="C184" s="97" t="s">
        <v>449</v>
      </c>
      <c r="D184" s="97" t="s">
        <v>449</v>
      </c>
      <c r="E184" s="97" t="s">
        <v>449</v>
      </c>
      <c r="F184" s="98"/>
    </row>
    <row r="185" spans="1:6">
      <c r="A185" s="95" t="s">
        <v>373</v>
      </c>
      <c r="B185" s="96">
        <v>3460</v>
      </c>
      <c r="C185" s="97" t="s">
        <v>192</v>
      </c>
      <c r="D185" s="97" t="s">
        <v>450</v>
      </c>
      <c r="E185" s="97" t="s">
        <v>451</v>
      </c>
      <c r="F185" s="98"/>
    </row>
    <row r="186" spans="1:6">
      <c r="A186" s="95" t="s">
        <v>373</v>
      </c>
      <c r="B186" s="96">
        <v>3470</v>
      </c>
      <c r="C186" s="97" t="s">
        <v>452</v>
      </c>
      <c r="D186" s="97" t="s">
        <v>453</v>
      </c>
      <c r="E186" s="97" t="s">
        <v>452</v>
      </c>
      <c r="F186" s="98"/>
    </row>
    <row r="187" spans="1:6">
      <c r="A187" s="95" t="s">
        <v>373</v>
      </c>
      <c r="B187" s="96">
        <v>3480</v>
      </c>
      <c r="C187" s="97" t="s">
        <v>454</v>
      </c>
      <c r="D187" s="97" t="s">
        <v>455</v>
      </c>
      <c r="E187" s="97" t="s">
        <v>456</v>
      </c>
      <c r="F187" s="98"/>
    </row>
    <row r="188" spans="1:6">
      <c r="A188" s="95" t="s">
        <v>373</v>
      </c>
      <c r="B188" s="96">
        <v>3490</v>
      </c>
      <c r="C188" s="97" t="s">
        <v>457</v>
      </c>
      <c r="D188" s="97" t="s">
        <v>458</v>
      </c>
      <c r="E188" s="97" t="s">
        <v>459</v>
      </c>
      <c r="F188" s="98"/>
    </row>
    <row r="189" spans="1:6">
      <c r="A189" s="95" t="s">
        <v>373</v>
      </c>
      <c r="B189" s="96">
        <v>3500</v>
      </c>
      <c r="C189" s="97" t="s">
        <v>460</v>
      </c>
      <c r="D189" s="97" t="s">
        <v>461</v>
      </c>
      <c r="E189" s="97" t="s">
        <v>462</v>
      </c>
      <c r="F189" s="98"/>
    </row>
    <row r="190" spans="1:6">
      <c r="A190" s="95" t="s">
        <v>373</v>
      </c>
      <c r="B190" s="96">
        <v>3510</v>
      </c>
      <c r="C190" s="97" t="s">
        <v>463</v>
      </c>
      <c r="D190" s="97" t="s">
        <v>464</v>
      </c>
      <c r="E190" s="97" t="s">
        <v>463</v>
      </c>
      <c r="F190" s="98"/>
    </row>
    <row r="191" spans="1:6">
      <c r="A191" s="95" t="s">
        <v>373</v>
      </c>
      <c r="B191" s="96">
        <v>3520</v>
      </c>
      <c r="C191" s="97" t="s">
        <v>241</v>
      </c>
      <c r="D191" s="97" t="s">
        <v>465</v>
      </c>
      <c r="E191" s="97" t="s">
        <v>243</v>
      </c>
      <c r="F191" s="98"/>
    </row>
    <row r="192" spans="1:6" ht="27">
      <c r="A192" s="95" t="s">
        <v>373</v>
      </c>
      <c r="B192" s="96">
        <v>3521</v>
      </c>
      <c r="C192" s="97" t="s">
        <v>466</v>
      </c>
      <c r="D192" s="97" t="s">
        <v>467</v>
      </c>
      <c r="E192" s="97" t="s">
        <v>468</v>
      </c>
      <c r="F192" s="98"/>
    </row>
    <row r="193" spans="1:6">
      <c r="A193" s="95" t="s">
        <v>373</v>
      </c>
      <c r="B193" s="96">
        <v>3530</v>
      </c>
      <c r="C193" s="97" t="s">
        <v>469</v>
      </c>
      <c r="D193" s="97" t="s">
        <v>464</v>
      </c>
      <c r="E193" s="97" t="s">
        <v>469</v>
      </c>
      <c r="F193" s="98"/>
    </row>
    <row r="194" spans="1:6">
      <c r="A194" s="95" t="s">
        <v>373</v>
      </c>
      <c r="B194" s="96">
        <v>3540</v>
      </c>
      <c r="C194" s="97" t="s">
        <v>470</v>
      </c>
      <c r="D194" s="97" t="s">
        <v>471</v>
      </c>
      <c r="E194" s="97" t="s">
        <v>470</v>
      </c>
      <c r="F194" s="98"/>
    </row>
    <row r="195" spans="1:6">
      <c r="A195" s="95" t="s">
        <v>373</v>
      </c>
      <c r="B195" s="96">
        <v>3550</v>
      </c>
      <c r="C195" s="97" t="s">
        <v>472</v>
      </c>
      <c r="D195" s="97" t="s">
        <v>473</v>
      </c>
      <c r="E195" s="97" t="s">
        <v>474</v>
      </c>
      <c r="F195" s="98"/>
    </row>
    <row r="196" spans="1:6">
      <c r="A196" s="95" t="s">
        <v>373</v>
      </c>
      <c r="B196" s="96">
        <v>3560</v>
      </c>
      <c r="C196" s="97" t="s">
        <v>143</v>
      </c>
      <c r="D196" s="97" t="s">
        <v>144</v>
      </c>
      <c r="E196" s="97" t="s">
        <v>145</v>
      </c>
      <c r="F196" s="98"/>
    </row>
    <row r="197" spans="1:6">
      <c r="A197" s="95" t="s">
        <v>373</v>
      </c>
      <c r="B197" s="96">
        <v>3565</v>
      </c>
      <c r="C197" s="97" t="s">
        <v>475</v>
      </c>
      <c r="D197" s="99" t="s">
        <v>476</v>
      </c>
      <c r="E197" s="99" t="s">
        <v>477</v>
      </c>
      <c r="F197" s="98"/>
    </row>
    <row r="198" spans="1:6">
      <c r="A198" s="95" t="s">
        <v>373</v>
      </c>
      <c r="B198" s="96">
        <v>3570</v>
      </c>
      <c r="C198" s="97" t="s">
        <v>478</v>
      </c>
      <c r="D198" s="97" t="s">
        <v>479</v>
      </c>
      <c r="E198" s="97" t="s">
        <v>206</v>
      </c>
      <c r="F198" s="98"/>
    </row>
    <row r="199" spans="1:6">
      <c r="A199" s="95" t="s">
        <v>373</v>
      </c>
      <c r="B199" s="96">
        <v>3580</v>
      </c>
      <c r="C199" s="97" t="s">
        <v>480</v>
      </c>
      <c r="D199" s="97" t="s">
        <v>481</v>
      </c>
      <c r="E199" s="97" t="s">
        <v>482</v>
      </c>
      <c r="F199" s="98"/>
    </row>
    <row r="200" spans="1:6">
      <c r="A200" s="95" t="s">
        <v>373</v>
      </c>
      <c r="B200" s="96">
        <v>3590</v>
      </c>
      <c r="C200" s="97" t="s">
        <v>483</v>
      </c>
      <c r="D200" s="97" t="s">
        <v>484</v>
      </c>
      <c r="E200" s="97" t="s">
        <v>485</v>
      </c>
      <c r="F200" s="98"/>
    </row>
    <row r="201" spans="1:6">
      <c r="A201" s="95" t="s">
        <v>373</v>
      </c>
      <c r="B201" s="96">
        <v>3600</v>
      </c>
      <c r="C201" s="97" t="s">
        <v>486</v>
      </c>
      <c r="D201" s="97" t="s">
        <v>487</v>
      </c>
      <c r="E201" s="97" t="s">
        <v>488</v>
      </c>
      <c r="F201" s="98"/>
    </row>
    <row r="202" spans="1:6">
      <c r="A202" s="95" t="s">
        <v>373</v>
      </c>
      <c r="B202" s="96">
        <v>3610</v>
      </c>
      <c r="C202" s="97" t="s">
        <v>83</v>
      </c>
      <c r="D202" s="97" t="s">
        <v>489</v>
      </c>
      <c r="E202" s="97" t="s">
        <v>85</v>
      </c>
      <c r="F202" s="98"/>
    </row>
    <row r="203" spans="1:6">
      <c r="A203" s="95" t="s">
        <v>373</v>
      </c>
      <c r="B203" s="96">
        <v>3620</v>
      </c>
      <c r="C203" s="97" t="s">
        <v>490</v>
      </c>
      <c r="D203" s="97" t="s">
        <v>152</v>
      </c>
      <c r="E203" s="97" t="s">
        <v>490</v>
      </c>
      <c r="F203" s="98"/>
    </row>
    <row r="204" spans="1:6">
      <c r="A204" s="95" t="s">
        <v>373</v>
      </c>
      <c r="B204" s="96">
        <v>3630</v>
      </c>
      <c r="C204" s="97" t="s">
        <v>491</v>
      </c>
      <c r="D204" s="97" t="s">
        <v>381</v>
      </c>
      <c r="E204" s="97" t="s">
        <v>491</v>
      </c>
      <c r="F204" s="98"/>
    </row>
    <row r="205" spans="1:6">
      <c r="A205" s="95" t="s">
        <v>373</v>
      </c>
      <c r="B205" s="96">
        <v>3640</v>
      </c>
      <c r="C205" s="97" t="s">
        <v>492</v>
      </c>
      <c r="D205" s="97" t="s">
        <v>493</v>
      </c>
      <c r="E205" s="97" t="s">
        <v>494</v>
      </c>
      <c r="F205" s="98"/>
    </row>
    <row r="206" spans="1:6">
      <c r="A206" s="95" t="s">
        <v>373</v>
      </c>
      <c r="B206" s="96">
        <v>3650</v>
      </c>
      <c r="C206" s="97" t="s">
        <v>495</v>
      </c>
      <c r="D206" s="97" t="s">
        <v>496</v>
      </c>
      <c r="E206" s="97" t="s">
        <v>497</v>
      </c>
      <c r="F206" s="98"/>
    </row>
    <row r="207" spans="1:6">
      <c r="A207" s="95" t="s">
        <v>373</v>
      </c>
      <c r="B207" s="96">
        <v>3660</v>
      </c>
      <c r="C207" s="97" t="s">
        <v>498</v>
      </c>
      <c r="D207" s="97" t="s">
        <v>104</v>
      </c>
      <c r="E207" s="97" t="s">
        <v>499</v>
      </c>
      <c r="F207" s="98"/>
    </row>
    <row r="208" spans="1:6">
      <c r="A208" s="95" t="s">
        <v>373</v>
      </c>
      <c r="B208" s="96">
        <v>3670</v>
      </c>
      <c r="C208" s="97" t="s">
        <v>500</v>
      </c>
      <c r="D208" s="97" t="s">
        <v>501</v>
      </c>
      <c r="E208" s="97" t="s">
        <v>502</v>
      </c>
      <c r="F208" s="98"/>
    </row>
    <row r="209" spans="1:6">
      <c r="A209" s="95" t="s">
        <v>373</v>
      </c>
      <c r="B209" s="96">
        <v>3680</v>
      </c>
      <c r="C209" s="97" t="s">
        <v>490</v>
      </c>
      <c r="D209" s="97" t="s">
        <v>503</v>
      </c>
      <c r="E209" s="97" t="s">
        <v>490</v>
      </c>
      <c r="F209" s="98"/>
    </row>
    <row r="210" spans="1:6" ht="27">
      <c r="A210" s="95" t="s">
        <v>373</v>
      </c>
      <c r="B210" s="96">
        <v>3690</v>
      </c>
      <c r="C210" s="97" t="s">
        <v>504</v>
      </c>
      <c r="D210" s="97" t="s">
        <v>505</v>
      </c>
      <c r="E210" s="97" t="s">
        <v>506</v>
      </c>
      <c r="F210" s="98"/>
    </row>
    <row r="211" spans="1:6">
      <c r="A211" s="95" t="s">
        <v>373</v>
      </c>
      <c r="B211" s="96">
        <v>3700</v>
      </c>
      <c r="C211" s="97" t="s">
        <v>266</v>
      </c>
      <c r="D211" s="97" t="s">
        <v>507</v>
      </c>
      <c r="E211" s="97" t="s">
        <v>266</v>
      </c>
      <c r="F211" s="98"/>
    </row>
    <row r="212" spans="1:6" ht="27">
      <c r="A212" s="95" t="s">
        <v>373</v>
      </c>
      <c r="B212" s="96">
        <v>3800</v>
      </c>
      <c r="C212" s="97"/>
      <c r="D212" s="97" t="s">
        <v>508</v>
      </c>
      <c r="E212" s="97" t="s">
        <v>509</v>
      </c>
      <c r="F212" s="98"/>
    </row>
    <row r="213" spans="1:6">
      <c r="A213" s="95" t="s">
        <v>510</v>
      </c>
      <c r="B213" s="96">
        <v>4000</v>
      </c>
      <c r="C213" s="97" t="s">
        <v>511</v>
      </c>
      <c r="D213" s="99" t="s">
        <v>512</v>
      </c>
      <c r="E213" s="97" t="s">
        <v>513</v>
      </c>
      <c r="F213" s="98"/>
    </row>
    <row r="214" spans="1:6" ht="40.5">
      <c r="A214" s="95" t="s">
        <v>510</v>
      </c>
      <c r="B214" s="96">
        <v>4010</v>
      </c>
      <c r="C214" s="97" t="s">
        <v>514</v>
      </c>
      <c r="D214" s="99" t="s">
        <v>515</v>
      </c>
      <c r="E214" s="97" t="s">
        <v>516</v>
      </c>
      <c r="F214" s="98"/>
    </row>
    <row r="215" spans="1:6">
      <c r="A215" s="95" t="s">
        <v>510</v>
      </c>
      <c r="B215" s="96">
        <v>4020</v>
      </c>
      <c r="C215" s="102" t="s">
        <v>517</v>
      </c>
      <c r="D215" s="99" t="s">
        <v>518</v>
      </c>
      <c r="E215" s="97" t="s">
        <v>519</v>
      </c>
      <c r="F215" s="98"/>
    </row>
    <row r="216" spans="1:6">
      <c r="A216" s="95" t="s">
        <v>510</v>
      </c>
      <c r="B216" s="96">
        <v>4030</v>
      </c>
      <c r="C216" s="97" t="s">
        <v>520</v>
      </c>
      <c r="D216" s="99" t="s">
        <v>521</v>
      </c>
      <c r="E216" s="97" t="s">
        <v>522</v>
      </c>
      <c r="F216" s="98"/>
    </row>
    <row r="217" spans="1:6">
      <c r="A217" s="95" t="s">
        <v>510</v>
      </c>
      <c r="B217" s="96">
        <v>4040</v>
      </c>
      <c r="C217" s="97" t="s">
        <v>523</v>
      </c>
      <c r="D217" s="99" t="s">
        <v>524</v>
      </c>
      <c r="E217" s="99" t="s">
        <v>525</v>
      </c>
      <c r="F217" s="98"/>
    </row>
    <row r="218" spans="1:6">
      <c r="A218" s="95" t="s">
        <v>510</v>
      </c>
      <c r="B218" s="96">
        <v>4045</v>
      </c>
      <c r="C218" s="97" t="s">
        <v>526</v>
      </c>
      <c r="D218" s="99" t="s">
        <v>141</v>
      </c>
      <c r="E218" s="97" t="s">
        <v>527</v>
      </c>
      <c r="F218" s="98"/>
    </row>
    <row r="219" spans="1:6">
      <c r="A219" s="95" t="s">
        <v>510</v>
      </c>
      <c r="B219" s="96">
        <v>4050</v>
      </c>
      <c r="C219" s="102" t="s">
        <v>528</v>
      </c>
      <c r="D219" s="99" t="s">
        <v>529</v>
      </c>
      <c r="E219" s="97" t="s">
        <v>530</v>
      </c>
      <c r="F219" s="98"/>
    </row>
    <row r="220" spans="1:6">
      <c r="A220" s="95" t="s">
        <v>510</v>
      </c>
      <c r="B220" s="96">
        <v>4060</v>
      </c>
      <c r="C220" s="97" t="s">
        <v>531</v>
      </c>
      <c r="D220" s="99" t="s">
        <v>532</v>
      </c>
      <c r="E220" s="97" t="s">
        <v>533</v>
      </c>
      <c r="F220" s="98"/>
    </row>
    <row r="221" spans="1:6">
      <c r="A221" s="95" t="s">
        <v>510</v>
      </c>
      <c r="B221" s="96">
        <v>4070</v>
      </c>
      <c r="C221" s="97" t="s">
        <v>59</v>
      </c>
      <c r="D221" s="97" t="s">
        <v>90</v>
      </c>
      <c r="E221" s="97" t="s">
        <v>91</v>
      </c>
      <c r="F221" s="98"/>
    </row>
    <row r="222" spans="1:6">
      <c r="A222" s="95" t="s">
        <v>510</v>
      </c>
      <c r="B222" s="96">
        <v>4080</v>
      </c>
      <c r="C222" s="97" t="s">
        <v>534</v>
      </c>
      <c r="D222" s="99" t="s">
        <v>535</v>
      </c>
      <c r="E222" s="97" t="s">
        <v>536</v>
      </c>
      <c r="F222" s="98"/>
    </row>
    <row r="223" spans="1:6">
      <c r="A223" s="95" t="s">
        <v>510</v>
      </c>
      <c r="B223" s="96">
        <v>4090</v>
      </c>
      <c r="C223" s="97" t="s">
        <v>537</v>
      </c>
      <c r="D223" s="99" t="s">
        <v>538</v>
      </c>
      <c r="E223" s="97" t="s">
        <v>537</v>
      </c>
      <c r="F223" s="98"/>
    </row>
    <row r="224" spans="1:6">
      <c r="A224" s="95" t="s">
        <v>510</v>
      </c>
      <c r="B224" s="96">
        <v>4100</v>
      </c>
      <c r="C224" s="97" t="s">
        <v>539</v>
      </c>
      <c r="D224" s="99" t="s">
        <v>540</v>
      </c>
      <c r="E224" s="97" t="s">
        <v>539</v>
      </c>
      <c r="F224" s="98"/>
    </row>
    <row r="225" spans="1:6">
      <c r="A225" s="95" t="s">
        <v>510</v>
      </c>
      <c r="B225" s="96">
        <v>4110</v>
      </c>
      <c r="C225" s="102" t="s">
        <v>541</v>
      </c>
      <c r="D225" s="104" t="s">
        <v>542</v>
      </c>
      <c r="E225" s="97" t="s">
        <v>543</v>
      </c>
      <c r="F225" s="98"/>
    </row>
  </sheetData>
  <sheetProtection selectLockedCells="1"/>
  <phoneticPr fontId="3"/>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74697-F720-4355-805E-C407C277B3E4}">
  <sheetPr codeName="Sheet2"/>
  <dimension ref="A1:E7"/>
  <sheetViews>
    <sheetView zoomScaleNormal="100" workbookViewId="0">
      <selection activeCell="C17" sqref="C17"/>
    </sheetView>
  </sheetViews>
  <sheetFormatPr defaultRowHeight="13.5"/>
  <cols>
    <col min="1" max="1" width="38.25" bestFit="1" customWidth="1"/>
    <col min="2" max="2" width="4.5" bestFit="1" customWidth="1"/>
    <col min="3" max="3" width="20.5" bestFit="1" customWidth="1"/>
    <col min="4" max="4" width="27.25" bestFit="1" customWidth="1"/>
    <col min="5" max="5" width="18.375" bestFit="1" customWidth="1"/>
  </cols>
  <sheetData>
    <row r="1" spans="1:5">
      <c r="A1" s="92" t="s">
        <v>544</v>
      </c>
      <c r="B1" s="92" t="s">
        <v>69</v>
      </c>
      <c r="C1" s="93" t="s">
        <v>545</v>
      </c>
      <c r="D1" s="93" t="s">
        <v>546</v>
      </c>
      <c r="E1" s="93"/>
    </row>
    <row r="2" spans="1:5">
      <c r="A2" s="97" t="s">
        <v>560</v>
      </c>
      <c r="B2" s="96">
        <v>2</v>
      </c>
      <c r="C2" s="107">
        <v>600000</v>
      </c>
      <c r="D2" s="97" t="b">
        <v>0</v>
      </c>
      <c r="E2" s="97"/>
    </row>
    <row r="3" spans="1:5">
      <c r="A3" s="97"/>
      <c r="B3" s="96"/>
      <c r="C3" s="107"/>
      <c r="D3" s="97"/>
      <c r="E3" s="97"/>
    </row>
    <row r="4" spans="1:5">
      <c r="A4" s="97"/>
      <c r="B4" s="96"/>
      <c r="C4" s="107"/>
      <c r="D4" s="97"/>
      <c r="E4" s="97"/>
    </row>
    <row r="5" spans="1:5">
      <c r="A5" s="97"/>
      <c r="B5" s="96"/>
      <c r="C5" s="107"/>
      <c r="D5" s="97"/>
      <c r="E5" s="97"/>
    </row>
    <row r="6" spans="1:5">
      <c r="A6" s="97"/>
      <c r="B6" s="96"/>
      <c r="C6" s="107"/>
      <c r="D6" s="97"/>
      <c r="E6" s="97"/>
    </row>
    <row r="7" spans="1:5">
      <c r="A7" s="97"/>
      <c r="B7" s="96"/>
      <c r="C7" s="107"/>
      <c r="D7" s="97"/>
      <c r="E7" s="97"/>
    </row>
  </sheetData>
  <phoneticPr fontId="3"/>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0BB52-8392-47E8-AF3C-930E596B307F}">
  <sheetPr codeName="Sheet7"/>
  <dimension ref="A1:E3"/>
  <sheetViews>
    <sheetView workbookViewId="0">
      <selection activeCell="C17" sqref="C17"/>
    </sheetView>
  </sheetViews>
  <sheetFormatPr defaultColWidth="56.125" defaultRowHeight="13.5"/>
  <cols>
    <col min="1" max="1" width="11.375" bestFit="1" customWidth="1"/>
    <col min="2" max="2" width="4.5" bestFit="1" customWidth="1"/>
    <col min="3" max="3" width="31.625" bestFit="1" customWidth="1"/>
    <col min="4" max="4" width="40.5" bestFit="1" customWidth="1"/>
    <col min="5" max="5" width="73.75" bestFit="1" customWidth="1"/>
  </cols>
  <sheetData>
    <row r="1" spans="1:5">
      <c r="A1" s="92" t="s">
        <v>547</v>
      </c>
      <c r="B1" s="92" t="s">
        <v>69</v>
      </c>
      <c r="C1" s="93" t="s">
        <v>70</v>
      </c>
      <c r="D1" s="93" t="s">
        <v>71</v>
      </c>
      <c r="E1" s="93" t="s">
        <v>72</v>
      </c>
    </row>
    <row r="2" spans="1:5" ht="40.5">
      <c r="A2" s="108" t="s">
        <v>548</v>
      </c>
      <c r="B2" s="96" t="s">
        <v>549</v>
      </c>
      <c r="C2" s="97"/>
      <c r="D2" s="97"/>
      <c r="E2" s="97" t="s">
        <v>550</v>
      </c>
    </row>
    <row r="3" spans="1:5" ht="27">
      <c r="A3" s="108" t="s">
        <v>551</v>
      </c>
      <c r="B3" s="109" t="s">
        <v>552</v>
      </c>
      <c r="C3" s="97"/>
      <c r="D3" s="97"/>
      <c r="E3" s="97" t="s">
        <v>553</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62199-189E-4C34-95D1-262A5007A784}">
  <sheetPr codeName="Sheet8"/>
  <dimension ref="A1:F2"/>
  <sheetViews>
    <sheetView workbookViewId="0">
      <selection activeCell="C17" sqref="C17"/>
    </sheetView>
  </sheetViews>
  <sheetFormatPr defaultRowHeight="13.5"/>
  <cols>
    <col min="1" max="1" width="7.875" bestFit="1" customWidth="1"/>
    <col min="2" max="2" width="5.5" bestFit="1" customWidth="1"/>
    <col min="3" max="3" width="44.5" bestFit="1" customWidth="1"/>
    <col min="4" max="4" width="59.25" customWidth="1"/>
    <col min="5" max="5" width="44.25" bestFit="1" customWidth="1"/>
  </cols>
  <sheetData>
    <row r="1" spans="1:6">
      <c r="A1" s="92" t="s">
        <v>68</v>
      </c>
      <c r="B1" s="92" t="s">
        <v>69</v>
      </c>
      <c r="C1" s="93" t="s">
        <v>70</v>
      </c>
      <c r="D1" s="93" t="s">
        <v>71</v>
      </c>
      <c r="E1" s="93" t="s">
        <v>72</v>
      </c>
      <c r="F1" s="94"/>
    </row>
    <row r="2" spans="1:6">
      <c r="A2" s="95" t="s">
        <v>554</v>
      </c>
      <c r="B2" s="96">
        <v>9000</v>
      </c>
      <c r="C2" s="102" t="s">
        <v>555</v>
      </c>
      <c r="D2" s="104" t="s">
        <v>556</v>
      </c>
      <c r="E2" s="97" t="s">
        <v>557</v>
      </c>
      <c r="F2" s="9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6</vt:i4>
      </vt:variant>
    </vt:vector>
  </HeadingPairs>
  <TitlesOfParts>
    <vt:vector size="15" baseType="lpstr">
      <vt:lpstr>Resume</vt:lpstr>
      <vt:lpstr>Expenses</vt:lpstr>
      <vt:lpstr>Application</vt:lpstr>
      <vt:lpstr>memo</vt:lpstr>
      <vt:lpstr>free</vt:lpstr>
      <vt:lpstr>ls</vt:lpstr>
      <vt:lpstr>baseinfo</vt:lpstr>
      <vt:lpstr>fixinfo</vt:lpstr>
      <vt:lpstr>sysinfo</vt:lpstr>
      <vt:lpstr>Application!Input_Area</vt:lpstr>
      <vt:lpstr>Expenses!Input_Area</vt:lpstr>
      <vt:lpstr>Application!Print_Area</vt:lpstr>
      <vt:lpstr>Expenses!Print_Area</vt:lpstr>
      <vt:lpstr>memo!Print_Area</vt:lpstr>
      <vt:lpstr>Resume!Print_Area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tamon</dc:creator>
  <cp:lastModifiedBy>雪莲 张</cp:lastModifiedBy>
  <dcterms:created xsi:type="dcterms:W3CDTF">2019-11-13T05:12:27Z</dcterms:created>
  <dcterms:modified xsi:type="dcterms:W3CDTF">2023-10-28T08:50:44Z</dcterms:modified>
</cp:coreProperties>
</file>